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482EDEB9-9CD6-4C2B-B0A5-D46928003C77}" xr6:coauthVersionLast="47" xr6:coauthVersionMax="47" xr10:uidLastSave="{00000000-0000-0000-0000-000000000000}"/>
  <bookViews>
    <workbookView xWindow="-120" yWindow="-120" windowWidth="19440" windowHeight="14670" tabRatio="769" xr2:uid="{00000000-000D-0000-FFFF-FFFF00000000}"/>
  </bookViews>
  <sheets>
    <sheet name="Региональное меню" sheetId="21" r:id="rId1"/>
  </sheets>
  <definedNames>
    <definedName name="_xlnm.Print_Area" localSheetId="0">'Региональное меню'!$A$1:$L$236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21" l="1"/>
  <c r="I35" i="21"/>
  <c r="J55" i="21" l="1"/>
  <c r="C218" i="21"/>
  <c r="H55" i="21"/>
  <c r="L172" i="21"/>
  <c r="K172" i="21"/>
  <c r="I173" i="21"/>
  <c r="I172" i="21"/>
  <c r="H173" i="21"/>
  <c r="H172" i="21"/>
  <c r="L201" i="21"/>
  <c r="K148" i="21"/>
  <c r="K205" i="21"/>
  <c r="L205" i="21"/>
  <c r="J205" i="21"/>
  <c r="I205" i="21"/>
  <c r="I208" i="21" s="1"/>
  <c r="H205" i="21"/>
  <c r="H208" i="21" s="1"/>
  <c r="G205" i="21"/>
  <c r="F205" i="21"/>
  <c r="E205" i="21"/>
  <c r="D205" i="21"/>
  <c r="D208" i="21" s="1"/>
  <c r="K201" i="21"/>
  <c r="J201" i="21"/>
  <c r="G201" i="21"/>
  <c r="G202" i="21"/>
  <c r="F201" i="21"/>
  <c r="F202" i="21"/>
  <c r="E202" i="21"/>
  <c r="E201" i="21"/>
  <c r="I174" i="21"/>
  <c r="H174" i="21"/>
  <c r="L192" i="21"/>
  <c r="K192" i="21"/>
  <c r="I192" i="21"/>
  <c r="I188" i="21"/>
  <c r="L213" i="21"/>
  <c r="I212" i="21"/>
  <c r="I214" i="21"/>
  <c r="F212" i="21"/>
  <c r="E212" i="21"/>
  <c r="J212" i="21"/>
  <c r="H212" i="21"/>
  <c r="K166" i="21"/>
  <c r="K169" i="21" s="1"/>
  <c r="H166" i="21"/>
  <c r="G166" i="21"/>
  <c r="F166" i="21"/>
  <c r="F169" i="21" s="1"/>
  <c r="E166" i="21"/>
  <c r="D166" i="21"/>
  <c r="K156" i="21"/>
  <c r="K157" i="21"/>
  <c r="K147" i="21"/>
  <c r="J147" i="21"/>
  <c r="I147" i="21"/>
  <c r="F147" i="21"/>
  <c r="J165" i="21"/>
  <c r="J169" i="21" s="1"/>
  <c r="H165" i="21"/>
  <c r="G165" i="21"/>
  <c r="E165" i="21"/>
  <c r="D165" i="21"/>
  <c r="H185" i="21"/>
  <c r="H188" i="21" s="1"/>
  <c r="G188" i="21"/>
  <c r="E188" i="21"/>
  <c r="D188" i="21"/>
  <c r="E203" i="21"/>
  <c r="K183" i="21"/>
  <c r="K204" i="21"/>
  <c r="L175" i="21"/>
  <c r="J175" i="21"/>
  <c r="I175" i="21"/>
  <c r="H175" i="21"/>
  <c r="G175" i="21"/>
  <c r="F175" i="21"/>
  <c r="E175" i="21"/>
  <c r="D175" i="21"/>
  <c r="L193" i="21"/>
  <c r="J193" i="21"/>
  <c r="I193" i="21"/>
  <c r="H193" i="21"/>
  <c r="G193" i="21"/>
  <c r="F193" i="21"/>
  <c r="E193" i="21"/>
  <c r="D193" i="21"/>
  <c r="L214" i="21"/>
  <c r="J214" i="21"/>
  <c r="H214" i="21"/>
  <c r="G214" i="21"/>
  <c r="F214" i="21"/>
  <c r="E214" i="21"/>
  <c r="D214" i="21"/>
  <c r="J156" i="21"/>
  <c r="I156" i="21"/>
  <c r="G156" i="21"/>
  <c r="F156" i="21"/>
  <c r="E156" i="21"/>
  <c r="D156" i="21"/>
  <c r="L169" i="21"/>
  <c r="K206" i="21"/>
  <c r="J206" i="21"/>
  <c r="K194" i="21"/>
  <c r="J194" i="21"/>
  <c r="K215" i="21"/>
  <c r="J215" i="21"/>
  <c r="J157" i="21"/>
  <c r="K149" i="21"/>
  <c r="J149" i="21"/>
  <c r="L148" i="21"/>
  <c r="J148" i="21"/>
  <c r="I148" i="21"/>
  <c r="H148" i="21"/>
  <c r="G148" i="21"/>
  <c r="F148" i="21"/>
  <c r="E148" i="21"/>
  <c r="D148" i="21"/>
  <c r="L147" i="21"/>
  <c r="L151" i="21" s="1"/>
  <c r="H147" i="21"/>
  <c r="G147" i="21"/>
  <c r="E147" i="21"/>
  <c r="D147" i="21"/>
  <c r="K140" i="21"/>
  <c r="J140" i="21"/>
  <c r="L134" i="21"/>
  <c r="K131" i="21"/>
  <c r="K134" i="21" s="1"/>
  <c r="J131" i="21"/>
  <c r="J134" i="21" s="1"/>
  <c r="I130" i="21"/>
  <c r="I134" i="21" s="1"/>
  <c r="G134" i="21"/>
  <c r="F134" i="21"/>
  <c r="E134" i="21"/>
  <c r="D134" i="21"/>
  <c r="H116" i="21"/>
  <c r="D43" i="21"/>
  <c r="L118" i="21"/>
  <c r="J118" i="21"/>
  <c r="I118" i="21"/>
  <c r="H118" i="21"/>
  <c r="G118" i="21"/>
  <c r="F118" i="21"/>
  <c r="E118" i="21"/>
  <c r="D118" i="21"/>
  <c r="L110" i="21"/>
  <c r="K60" i="21"/>
  <c r="K110" i="21"/>
  <c r="G110" i="21"/>
  <c r="J112" i="21"/>
  <c r="I112" i="21"/>
  <c r="F112" i="21"/>
  <c r="E60" i="21"/>
  <c r="E58" i="21"/>
  <c r="E59" i="21"/>
  <c r="D112" i="21"/>
  <c r="H95" i="21"/>
  <c r="E95" i="21"/>
  <c r="H97" i="21"/>
  <c r="L98" i="21"/>
  <c r="J98" i="21"/>
  <c r="I98" i="21"/>
  <c r="H98" i="21"/>
  <c r="G98" i="21"/>
  <c r="F98" i="21"/>
  <c r="E98" i="21"/>
  <c r="D98" i="21"/>
  <c r="K99" i="21"/>
  <c r="J99" i="21"/>
  <c r="L87" i="21"/>
  <c r="L92" i="21" s="1"/>
  <c r="K87" i="21"/>
  <c r="J87" i="21"/>
  <c r="I92" i="21"/>
  <c r="H87" i="21"/>
  <c r="H92" i="21" s="1"/>
  <c r="G87" i="21"/>
  <c r="G92" i="21" s="1"/>
  <c r="F87" i="21"/>
  <c r="F92" i="21" s="1"/>
  <c r="E87" i="21"/>
  <c r="E92" i="21" s="1"/>
  <c r="D87" i="21"/>
  <c r="D92" i="21" s="1"/>
  <c r="K90" i="21"/>
  <c r="J90" i="21"/>
  <c r="K88" i="21"/>
  <c r="K80" i="21"/>
  <c r="J80" i="21"/>
  <c r="L79" i="21"/>
  <c r="J79" i="21"/>
  <c r="I79" i="21"/>
  <c r="H79" i="21"/>
  <c r="G79" i="21"/>
  <c r="F79" i="21"/>
  <c r="E79" i="21"/>
  <c r="D79" i="21"/>
  <c r="C83" i="21"/>
  <c r="L71" i="21"/>
  <c r="K71" i="21"/>
  <c r="F71" i="21"/>
  <c r="G71" i="21"/>
  <c r="D71" i="21"/>
  <c r="H74" i="21"/>
  <c r="L58" i="21"/>
  <c r="L60" i="21"/>
  <c r="L59" i="21"/>
  <c r="K58" i="21"/>
  <c r="K59" i="21"/>
  <c r="J59" i="21"/>
  <c r="J58" i="21"/>
  <c r="I60" i="21"/>
  <c r="I59" i="21"/>
  <c r="I58" i="21"/>
  <c r="G52" i="21"/>
  <c r="F52" i="21"/>
  <c r="L61" i="21"/>
  <c r="J61" i="21"/>
  <c r="I61" i="21"/>
  <c r="H61" i="21"/>
  <c r="G61" i="21"/>
  <c r="F61" i="21"/>
  <c r="E61" i="21"/>
  <c r="D61" i="21"/>
  <c r="J60" i="21"/>
  <c r="G58" i="21"/>
  <c r="G59" i="21"/>
  <c r="G60" i="21"/>
  <c r="D59" i="21"/>
  <c r="I55" i="21"/>
  <c r="I169" i="21"/>
  <c r="F60" i="21"/>
  <c r="D60" i="21"/>
  <c r="E52" i="21"/>
  <c r="D52" i="21"/>
  <c r="D55" i="21" s="1"/>
  <c r="K46" i="21"/>
  <c r="L43" i="21"/>
  <c r="J43" i="21"/>
  <c r="I43" i="21"/>
  <c r="H43" i="21"/>
  <c r="G43" i="21"/>
  <c r="F43" i="21"/>
  <c r="E43" i="21"/>
  <c r="H37" i="21"/>
  <c r="L37" i="21"/>
  <c r="K32" i="21"/>
  <c r="E31" i="21"/>
  <c r="J37" i="21"/>
  <c r="I37" i="21"/>
  <c r="G37" i="21"/>
  <c r="F37" i="21"/>
  <c r="D37" i="21"/>
  <c r="H58" i="21"/>
  <c r="F58" i="21"/>
  <c r="C74" i="21"/>
  <c r="C208" i="21"/>
  <c r="J74" i="21"/>
  <c r="K55" i="21"/>
  <c r="C64" i="21"/>
  <c r="C37" i="21"/>
  <c r="L55" i="21"/>
  <c r="H112" i="21"/>
  <c r="C112" i="21"/>
  <c r="C178" i="21"/>
  <c r="C197" i="21"/>
  <c r="J188" i="21"/>
  <c r="C188" i="21"/>
  <c r="C169" i="21"/>
  <c r="C160" i="21"/>
  <c r="C151" i="21"/>
  <c r="C143" i="21"/>
  <c r="C134" i="21"/>
  <c r="C121" i="21"/>
  <c r="C102" i="21"/>
  <c r="C92" i="21"/>
  <c r="C55" i="21"/>
  <c r="C46" i="21"/>
  <c r="I151" i="21" l="1"/>
  <c r="D169" i="21"/>
  <c r="C84" i="21"/>
  <c r="E169" i="21"/>
  <c r="H64" i="21"/>
  <c r="H65" i="21" s="1"/>
  <c r="J102" i="21"/>
  <c r="G55" i="21"/>
  <c r="J151" i="21"/>
  <c r="J64" i="21"/>
  <c r="J65" i="21" s="1"/>
  <c r="F83" i="21"/>
  <c r="L112" i="21"/>
  <c r="G169" i="21"/>
  <c r="G121" i="21"/>
  <c r="E151" i="21"/>
  <c r="F197" i="21"/>
  <c r="I160" i="21"/>
  <c r="D218" i="21"/>
  <c r="H218" i="21"/>
  <c r="H219" i="21" s="1"/>
  <c r="L121" i="21"/>
  <c r="L122" i="21" s="1"/>
  <c r="K188" i="21"/>
  <c r="L188" i="21"/>
  <c r="G197" i="21"/>
  <c r="K197" i="21"/>
  <c r="G74" i="21"/>
  <c r="G143" i="21"/>
  <c r="C219" i="21"/>
  <c r="C47" i="21"/>
  <c r="J160" i="21"/>
  <c r="J161" i="21" s="1"/>
  <c r="K178" i="21"/>
  <c r="K179" i="21" s="1"/>
  <c r="C65" i="21"/>
  <c r="C179" i="21"/>
  <c r="K37" i="21"/>
  <c r="K47" i="21" s="1"/>
  <c r="L46" i="21"/>
  <c r="L47" i="21" s="1"/>
  <c r="J46" i="21"/>
  <c r="J47" i="21" s="1"/>
  <c r="J197" i="21"/>
  <c r="J198" i="21" s="1"/>
  <c r="J178" i="21"/>
  <c r="J179" i="21" s="1"/>
  <c r="E37" i="21"/>
  <c r="F46" i="21"/>
  <c r="F47" i="21" s="1"/>
  <c r="E55" i="21"/>
  <c r="H46" i="21"/>
  <c r="H47" i="21" s="1"/>
  <c r="G46" i="21"/>
  <c r="C122" i="21"/>
  <c r="F102" i="21"/>
  <c r="D121" i="21"/>
  <c r="I121" i="21"/>
  <c r="I122" i="21" s="1"/>
  <c r="J121" i="21"/>
  <c r="J122" i="21" s="1"/>
  <c r="K121" i="21"/>
  <c r="D143" i="21"/>
  <c r="F143" i="21"/>
  <c r="F144" i="21" s="1"/>
  <c r="G151" i="21"/>
  <c r="J208" i="21"/>
  <c r="F160" i="21"/>
  <c r="H197" i="21"/>
  <c r="H198" i="21" s="1"/>
  <c r="H169" i="21"/>
  <c r="F208" i="21"/>
  <c r="L208" i="21"/>
  <c r="D178" i="21"/>
  <c r="D74" i="21"/>
  <c r="E112" i="21"/>
  <c r="E143" i="21"/>
  <c r="L143" i="21"/>
  <c r="L144" i="21" s="1"/>
  <c r="H151" i="21"/>
  <c r="D160" i="21"/>
  <c r="E160" i="21"/>
  <c r="L160" i="21"/>
  <c r="L161" i="21" s="1"/>
  <c r="E208" i="21"/>
  <c r="E74" i="21"/>
  <c r="L74" i="21"/>
  <c r="E83" i="21"/>
  <c r="I197" i="21"/>
  <c r="I198" i="21" s="1"/>
  <c r="F64" i="21"/>
  <c r="C161" i="21"/>
  <c r="G64" i="21"/>
  <c r="I64" i="21"/>
  <c r="I65" i="21" s="1"/>
  <c r="K64" i="21"/>
  <c r="K65" i="21" s="1"/>
  <c r="L83" i="21"/>
  <c r="G83" i="21"/>
  <c r="K112" i="21"/>
  <c r="D46" i="21"/>
  <c r="I143" i="21"/>
  <c r="H143" i="21"/>
  <c r="J143" i="21"/>
  <c r="J144" i="21" s="1"/>
  <c r="K143" i="21"/>
  <c r="K144" i="21" s="1"/>
  <c r="D151" i="21"/>
  <c r="D197" i="21"/>
  <c r="K151" i="21"/>
  <c r="G160" i="21"/>
  <c r="H160" i="21"/>
  <c r="F218" i="21"/>
  <c r="E218" i="21"/>
  <c r="L218" i="21"/>
  <c r="F188" i="21"/>
  <c r="E197" i="21"/>
  <c r="E198" i="21" s="1"/>
  <c r="E178" i="21"/>
  <c r="G208" i="21"/>
  <c r="G178" i="21"/>
  <c r="F178" i="21"/>
  <c r="F179" i="21" s="1"/>
  <c r="L178" i="21"/>
  <c r="L179" i="21" s="1"/>
  <c r="F55" i="21"/>
  <c r="K208" i="21"/>
  <c r="I178" i="21"/>
  <c r="I74" i="21"/>
  <c r="I123" i="21" s="1"/>
  <c r="L64" i="21"/>
  <c r="L65" i="21" s="1"/>
  <c r="F74" i="21"/>
  <c r="K74" i="21"/>
  <c r="K92" i="21"/>
  <c r="K83" i="21"/>
  <c r="G102" i="21"/>
  <c r="H102" i="21"/>
  <c r="H103" i="21" s="1"/>
  <c r="G112" i="21"/>
  <c r="H134" i="21"/>
  <c r="K218" i="21"/>
  <c r="I220" i="21"/>
  <c r="C103" i="21"/>
  <c r="C198" i="21"/>
  <c r="D64" i="21"/>
  <c r="F121" i="21"/>
  <c r="D83" i="21"/>
  <c r="H83" i="21"/>
  <c r="H84" i="21" s="1"/>
  <c r="J92" i="21"/>
  <c r="K102" i="21"/>
  <c r="E121" i="21"/>
  <c r="J218" i="21"/>
  <c r="I83" i="21"/>
  <c r="D102" i="21"/>
  <c r="E102" i="21"/>
  <c r="L102" i="21"/>
  <c r="L103" i="21" s="1"/>
  <c r="L197" i="21"/>
  <c r="G218" i="21"/>
  <c r="E46" i="21"/>
  <c r="C220" i="21"/>
  <c r="J83" i="21"/>
  <c r="J84" i="21" s="1"/>
  <c r="I102" i="21"/>
  <c r="I103" i="21" s="1"/>
  <c r="C124" i="21"/>
  <c r="C221" i="21"/>
  <c r="H121" i="21"/>
  <c r="H122" i="21" s="1"/>
  <c r="F151" i="21"/>
  <c r="I218" i="21"/>
  <c r="I219" i="21" s="1"/>
  <c r="C144" i="21"/>
  <c r="H178" i="21"/>
  <c r="K160" i="21"/>
  <c r="C123" i="21"/>
  <c r="H123" i="21"/>
  <c r="I46" i="21"/>
  <c r="E64" i="21"/>
  <c r="D179" i="21" l="1"/>
  <c r="E179" i="21"/>
  <c r="L123" i="21"/>
  <c r="K198" i="21"/>
  <c r="J103" i="21"/>
  <c r="D122" i="21"/>
  <c r="G198" i="21"/>
  <c r="G65" i="21"/>
  <c r="G144" i="21"/>
  <c r="D219" i="21"/>
  <c r="J220" i="21"/>
  <c r="G179" i="21"/>
  <c r="L220" i="21"/>
  <c r="L84" i="21"/>
  <c r="F198" i="21"/>
  <c r="F123" i="21"/>
  <c r="H224" i="21"/>
  <c r="H225" i="21" s="1"/>
  <c r="H226" i="21" s="1"/>
  <c r="G123" i="21"/>
  <c r="K220" i="21"/>
  <c r="I179" i="21"/>
  <c r="I227" i="21"/>
  <c r="I228" i="21" s="1"/>
  <c r="I229" i="21" s="1"/>
  <c r="H220" i="21"/>
  <c r="F84" i="21"/>
  <c r="K124" i="21"/>
  <c r="D47" i="21"/>
  <c r="K122" i="21"/>
  <c r="H144" i="21"/>
  <c r="D144" i="21"/>
  <c r="K219" i="21"/>
  <c r="G47" i="21"/>
  <c r="E84" i="21"/>
  <c r="F221" i="21"/>
  <c r="F103" i="21"/>
  <c r="G220" i="21"/>
  <c r="L219" i="21"/>
  <c r="L221" i="21"/>
  <c r="D161" i="21"/>
  <c r="E224" i="21"/>
  <c r="E225" i="21" s="1"/>
  <c r="E226" i="21" s="1"/>
  <c r="L224" i="21"/>
  <c r="L225" i="21" s="1"/>
  <c r="L226" i="21" s="1"/>
  <c r="E219" i="21"/>
  <c r="D123" i="21"/>
  <c r="K221" i="21"/>
  <c r="F224" i="21"/>
  <c r="F225" i="21" s="1"/>
  <c r="F226" i="21" s="1"/>
  <c r="E220" i="21"/>
  <c r="G84" i="21"/>
  <c r="E221" i="21"/>
  <c r="F124" i="21"/>
  <c r="F219" i="21"/>
  <c r="E123" i="21"/>
  <c r="J123" i="21"/>
  <c r="H221" i="21"/>
  <c r="D224" i="21"/>
  <c r="D225" i="21" s="1"/>
  <c r="D226" i="21" s="1"/>
  <c r="G219" i="21"/>
  <c r="G161" i="21"/>
  <c r="F65" i="21"/>
  <c r="H161" i="21"/>
  <c r="D227" i="21"/>
  <c r="E161" i="21"/>
  <c r="E144" i="21"/>
  <c r="I221" i="21"/>
  <c r="J227" i="21"/>
  <c r="J228" i="21" s="1"/>
  <c r="J229" i="21" s="1"/>
  <c r="J219" i="21"/>
  <c r="D124" i="21"/>
  <c r="K84" i="21"/>
  <c r="J124" i="21"/>
  <c r="D220" i="21"/>
  <c r="H124" i="21"/>
  <c r="K224" i="21"/>
  <c r="K225" i="21" s="1"/>
  <c r="K226" i="21" s="1"/>
  <c r="D198" i="21"/>
  <c r="H179" i="21"/>
  <c r="G103" i="21"/>
  <c r="J221" i="21"/>
  <c r="G224" i="21"/>
  <c r="G225" i="21" s="1"/>
  <c r="E235" i="21" s="1"/>
  <c r="D65" i="21"/>
  <c r="G227" i="21"/>
  <c r="J224" i="21"/>
  <c r="J225" i="21" s="1"/>
  <c r="I224" i="21"/>
  <c r="I225" i="21" s="1"/>
  <c r="I226" i="21" s="1"/>
  <c r="K123" i="21"/>
  <c r="G124" i="21"/>
  <c r="I84" i="21"/>
  <c r="G122" i="21"/>
  <c r="K103" i="21"/>
  <c r="E122" i="21"/>
  <c r="F122" i="21"/>
  <c r="E47" i="21"/>
  <c r="D103" i="21"/>
  <c r="G221" i="21"/>
  <c r="D84" i="21"/>
  <c r="F220" i="21"/>
  <c r="E124" i="21"/>
  <c r="E103" i="21"/>
  <c r="L124" i="21"/>
  <c r="L198" i="21"/>
  <c r="L227" i="21"/>
  <c r="F161" i="21"/>
  <c r="F227" i="21"/>
  <c r="D221" i="21"/>
  <c r="H227" i="21"/>
  <c r="K161" i="21"/>
  <c r="K227" i="21"/>
  <c r="I47" i="21"/>
  <c r="I124" i="21"/>
  <c r="I144" i="21" s="1"/>
  <c r="I161" i="21" s="1"/>
  <c r="E65" i="21"/>
  <c r="E227" i="21"/>
  <c r="J230" i="21" l="1"/>
  <c r="J231" i="21" s="1"/>
  <c r="J232" i="21" s="1"/>
  <c r="G228" i="21"/>
  <c r="E236" i="21" s="1"/>
  <c r="G230" i="21"/>
  <c r="G231" i="21" s="1"/>
  <c r="G226" i="21"/>
  <c r="D228" i="21"/>
  <c r="D230" i="21"/>
  <c r="D231" i="21" s="1"/>
  <c r="F228" i="21"/>
  <c r="F230" i="21"/>
  <c r="F231" i="21" s="1"/>
  <c r="L228" i="21"/>
  <c r="L230" i="21"/>
  <c r="L231" i="21" s="1"/>
  <c r="J226" i="21"/>
  <c r="H230" i="21"/>
  <c r="H231" i="21" s="1"/>
  <c r="H228" i="21"/>
  <c r="K230" i="21"/>
  <c r="K231" i="21" s="1"/>
  <c r="K228" i="21"/>
  <c r="E228" i="21"/>
  <c r="E230" i="21"/>
  <c r="E231" i="21" s="1"/>
  <c r="G232" i="21" l="1"/>
  <c r="G229" i="21"/>
  <c r="L232" i="21"/>
  <c r="D229" i="21"/>
  <c r="F232" i="21"/>
  <c r="F229" i="21"/>
  <c r="D232" i="21"/>
  <c r="L229" i="21"/>
  <c r="H229" i="21"/>
  <c r="H232" i="21"/>
  <c r="K229" i="21"/>
  <c r="K232" i="21"/>
  <c r="E232" i="21"/>
  <c r="E229" i="21"/>
</calcChain>
</file>

<file path=xl/sharedStrings.xml><?xml version="1.0" encoding="utf-8"?>
<sst xmlns="http://schemas.openxmlformats.org/spreadsheetml/2006/main" count="342" uniqueCount="183">
  <si>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</si>
  <si>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</si>
  <si>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</si>
  <si>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</si>
  <si>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</si>
  <si>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</si>
  <si>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</si>
  <si>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</si>
  <si>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</si>
  <si>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</si>
  <si>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</si>
  <si>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</si>
  <si>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</si>
  <si>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</si>
  <si>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</si>
  <si>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Р</t>
  </si>
  <si>
    <t>_Завтрак</t>
  </si>
  <si>
    <t>Суп молочный с макаронными изделиями</t>
  </si>
  <si>
    <t>Масло порциями</t>
  </si>
  <si>
    <t>15М</t>
  </si>
  <si>
    <t>Сыр порционный</t>
  </si>
  <si>
    <t>209М</t>
  </si>
  <si>
    <t>Яйцо отварное</t>
  </si>
  <si>
    <t>338М</t>
  </si>
  <si>
    <t>Фрукты по сезону</t>
  </si>
  <si>
    <t>377М</t>
  </si>
  <si>
    <t>Чай с сахаром с лимоном</t>
  </si>
  <si>
    <t>Батон "Домашний"</t>
  </si>
  <si>
    <t>Итого за _Завтрак</t>
  </si>
  <si>
    <t>Обед</t>
  </si>
  <si>
    <t>Закуска из овощей по сезону</t>
  </si>
  <si>
    <t>Борщ из свежей капусты со сметаной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</si>
  <si>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</si>
  <si>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</si>
  <si>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</si>
  <si>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</si>
  <si>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</si>
  <si>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</si>
  <si>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</si>
  <si>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</si>
  <si>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</si>
  <si>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</si>
  <si>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284М</t>
  </si>
  <si>
    <t>Запеканка картофельная с мясом</t>
  </si>
  <si>
    <t>Печенье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</si>
  <si>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</si>
  <si>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</si>
  <si>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</si>
  <si>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</si>
  <si>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</si>
  <si>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</si>
  <si>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</si>
  <si>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</si>
  <si>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Всего за Вторник-1</t>
  </si>
  <si>
    <t>День/неделя: Среда-1</t>
  </si>
  <si>
    <t>Котлеты из говядины со сметанно-томатным соусом</t>
  </si>
  <si>
    <t>Каша пшеничная рассыпчатая</t>
  </si>
  <si>
    <t>Мармелад</t>
  </si>
  <si>
    <t>96М</t>
  </si>
  <si>
    <t>Рассольник "Ленинградский"</t>
  </si>
  <si>
    <t>291М</t>
  </si>
  <si>
    <t>Плов из филе птицы</t>
  </si>
  <si>
    <t>Всего за Среда-1</t>
  </si>
  <si>
    <t>День/неделя: Четверг-1</t>
  </si>
  <si>
    <t>224М</t>
  </si>
  <si>
    <t>Запеканка творожная с морковью с молочным соусом</t>
  </si>
  <si>
    <t>88М</t>
  </si>
  <si>
    <t>Щи из свежей капусты с картофелем и сметаной</t>
  </si>
  <si>
    <t>309М</t>
  </si>
  <si>
    <t>Макаронные изделия отварные</t>
  </si>
  <si>
    <t>Всего за Четверг-1</t>
  </si>
  <si>
    <t>День/неделя: Пятница-1</t>
  </si>
  <si>
    <t>260М</t>
  </si>
  <si>
    <t>Гуляш из свинины</t>
  </si>
  <si>
    <t>434М</t>
  </si>
  <si>
    <t>Булочка "Молочная"</t>
  </si>
  <si>
    <t>102М</t>
  </si>
  <si>
    <t>Суп картофельный с бобовыми (горох)</t>
  </si>
  <si>
    <t>290М</t>
  </si>
  <si>
    <t>Птица тушеная в сметанном соусе</t>
  </si>
  <si>
    <t>Всего за Пятница-1</t>
  </si>
  <si>
    <t>Итого за неделю в среднем завтрак</t>
  </si>
  <si>
    <t>Итого за неделю в среднем обед</t>
  </si>
  <si>
    <t>День/неделя: Понедельник-2</t>
  </si>
  <si>
    <t>239М</t>
  </si>
  <si>
    <t>Тефтели рыбные в сметанном соусе с томатом</t>
  </si>
  <si>
    <t>304М</t>
  </si>
  <si>
    <t>Рис отварной</t>
  </si>
  <si>
    <t>Борщ из свежей капусты с картофелем</t>
  </si>
  <si>
    <t>245М</t>
  </si>
  <si>
    <t>Бефстроганов из отварной говядины</t>
  </si>
  <si>
    <t>Сок фруктовый</t>
  </si>
  <si>
    <t>Всего за Понедельник-2</t>
  </si>
  <si>
    <t>День/неделя: Вторник-2</t>
  </si>
  <si>
    <t>Запеканка творожная с морковью с фруктовым соусом</t>
  </si>
  <si>
    <t>382М</t>
  </si>
  <si>
    <t>Какао с молоком</t>
  </si>
  <si>
    <t>98М</t>
  </si>
  <si>
    <t>Суп крестьянский с крупой (пшено)</t>
  </si>
  <si>
    <t>265М</t>
  </si>
  <si>
    <t>Плов из говядины</t>
  </si>
  <si>
    <t>Всего за Вторник-2</t>
  </si>
  <si>
    <t>День/неделя: Среда-2</t>
  </si>
  <si>
    <t>Пряник</t>
  </si>
  <si>
    <t>234М</t>
  </si>
  <si>
    <t>Биточки рыбные с соусом сметанным</t>
  </si>
  <si>
    <t>310М</t>
  </si>
  <si>
    <t>Картофель отварной</t>
  </si>
  <si>
    <t>Всего за Среда-2</t>
  </si>
  <si>
    <t>День/неделя: Четверг-2</t>
  </si>
  <si>
    <t>278М</t>
  </si>
  <si>
    <t>Тефтели куриные со сметанным соусом</t>
  </si>
  <si>
    <t>101М</t>
  </si>
  <si>
    <t>Суп картофельный с крупой (рис)</t>
  </si>
  <si>
    <t>259М</t>
  </si>
  <si>
    <t>Жаркое по-домашнему</t>
  </si>
  <si>
    <t>Всего за Четверг-2</t>
  </si>
  <si>
    <t>День/неделя: Пятница-2</t>
  </si>
  <si>
    <t>175М</t>
  </si>
  <si>
    <t>Каша молочная "Дружба"</t>
  </si>
  <si>
    <t>Пирог чайный</t>
  </si>
  <si>
    <t>0,03-0,015</t>
  </si>
  <si>
    <t>114М</t>
  </si>
  <si>
    <t>Суп лапша с мясом птицы</t>
  </si>
  <si>
    <t>295М</t>
  </si>
  <si>
    <t>Котлеты рубленые из мяса птицы</t>
  </si>
  <si>
    <t>Всего за Пятница-2</t>
  </si>
  <si>
    <t>Итого за завтрак</t>
  </si>
  <si>
    <t>Среднее значение за завтрак</t>
  </si>
  <si>
    <t xml:space="preserve">ВыполнениеСанПиН 2020 </t>
  </si>
  <si>
    <t>Итого за обед</t>
  </si>
  <si>
    <t>Среднее значение за обед</t>
  </si>
  <si>
    <t>Итого день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</si>
  <si>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</si>
  <si>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</si>
  <si>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</si>
  <si>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</si>
  <si>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</si>
  <si>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</si>
  <si>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</si>
  <si>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Плов</t>
  </si>
  <si>
    <t>СОГЛАСОВАНО:</t>
  </si>
  <si>
    <t>УТВЕРЖДАЮ:</t>
  </si>
  <si>
    <t>Начальник МКУ</t>
  </si>
  <si>
    <t>Директор</t>
  </si>
  <si>
    <t>Л.А.Губарева</t>
  </si>
  <si>
    <t>Директор:</t>
  </si>
  <si>
    <t>МУП "Столовая №1 
г. Ростова-на-Дону"</t>
  </si>
  <si>
    <t xml:space="preserve">   </t>
  </si>
  <si>
    <t>+</t>
  </si>
  <si>
    <t xml:space="preserve"> 278М</t>
  </si>
  <si>
    <t xml:space="preserve"> Тефтели из говядины с соусом сметанным с томатом</t>
  </si>
  <si>
    <t>"Отдел образования  Октябрьского района г. Ростова-на-Дону"</t>
  </si>
  <si>
    <t xml:space="preserve"> С.С. Игнатенко</t>
  </si>
  <si>
    <t>Примерное 2-х недельное меню МУП "Столовая №1 г. Ростова-на-Дону" на горячее питание 
для обучающихся с ограниченными возможностями здоровья (5-11 классы), в виде двухразового питания: завтрак и обед стоимостью 216 руб. 31 коп. 
для муниципальных общеобразовательных школ Октябрьского района
 2022 год</t>
  </si>
  <si>
    <t>МБОУ "Гимназия №25"</t>
  </si>
  <si>
    <t>Ушакова Л.И.</t>
  </si>
  <si>
    <t>МАОУ "Лицей №27"</t>
  </si>
  <si>
    <t>Агафонова Л.П.</t>
  </si>
  <si>
    <t>МБОУ "Школа №32"</t>
  </si>
  <si>
    <t>Володина М.В.</t>
  </si>
  <si>
    <t>МБОУ "Школа№40"</t>
  </si>
  <si>
    <t>Богданов И.С.</t>
  </si>
  <si>
    <t>МБОУ "Школа №43"</t>
  </si>
  <si>
    <t>Овчаренко И.А.</t>
  </si>
  <si>
    <t>МБОУ "Гимназия №46"</t>
  </si>
  <si>
    <t>Сурнина М.В.</t>
  </si>
  <si>
    <t>МБОУ "Лицей №50"</t>
  </si>
  <si>
    <t>Желябина Н.А.</t>
  </si>
  <si>
    <t>МАОУ "Гимназия №52"</t>
  </si>
  <si>
    <t>Светличная С.В.</t>
  </si>
  <si>
    <t>МБОУ "Школа№68"</t>
  </si>
  <si>
    <t>Кечетжиева Л.К.</t>
  </si>
  <si>
    <t>МБОУ "Школа№69"</t>
  </si>
  <si>
    <t>Яровой В.В.</t>
  </si>
  <si>
    <t>МБОУ "Лицей №71"</t>
  </si>
  <si>
    <t>Курилова И.В.</t>
  </si>
  <si>
    <t>МБОУ "Школа №75"</t>
  </si>
  <si>
    <t>Куркина Г.А.</t>
  </si>
  <si>
    <t>МБОУ "Школа №79"</t>
  </si>
  <si>
    <t>Игнатьев И.А.</t>
  </si>
  <si>
    <t>МБОУ "Школа №110"</t>
  </si>
  <si>
    <t>Герасименко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</si>
</sst>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7" x14ac:knownFonts="1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/>
    <xf numFmtId="2" fontId="3" fillId="0" borderId="1" xfId="3" applyNumberFormat="1" applyFont="1" applyFill="1" applyBorder="1"/>
    <xf numFmtId="0" fontId="5" fillId="0" borderId="0" xfId="0" applyFont="1"/>
    <xf numFmtId="0" fontId="3" fillId="2" borderId="0" xfId="0" applyFont="1" applyFill="1"/>
    <xf numFmtId="0" fontId="7" fillId="0" borderId="1" xfId="0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2" fontId="3" fillId="2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3" applyFont="1" applyBorder="1" applyAlignment="1">
      <alignment vertical="center"/>
    </xf>
    <xf numFmtId="1" fontId="2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9" fillId="7" borderId="16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2" fontId="9" fillId="9" borderId="23" xfId="0" applyNumberFormat="1" applyFont="1" applyFill="1" applyBorder="1" applyAlignment="1">
      <alignment horizontal="center"/>
    </xf>
    <xf numFmtId="2" fontId="9" fillId="5" borderId="23" xfId="0" applyNumberFormat="1" applyFont="1" applyFill="1" applyBorder="1" applyAlignment="1">
      <alignment horizontal="center"/>
    </xf>
    <xf numFmtId="2" fontId="9" fillId="5" borderId="24" xfId="0" applyNumberFormat="1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5" borderId="26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center"/>
    </xf>
    <xf numFmtId="2" fontId="9" fillId="9" borderId="32" xfId="0" applyNumberFormat="1" applyFont="1" applyFill="1" applyBorder="1" applyAlignment="1">
      <alignment horizontal="center"/>
    </xf>
    <xf numFmtId="2" fontId="9" fillId="5" borderId="32" xfId="0" applyNumberFormat="1" applyFont="1" applyFill="1" applyBorder="1" applyAlignment="1">
      <alignment horizontal="center"/>
    </xf>
    <xf numFmtId="2" fontId="9" fillId="5" borderId="33" xfId="0" applyNumberFormat="1" applyFont="1" applyFill="1" applyBorder="1" applyAlignment="1">
      <alignment horizontal="center"/>
    </xf>
    <xf numFmtId="0" fontId="9" fillId="9" borderId="34" xfId="0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9" fillId="5" borderId="30" xfId="0" applyNumberFormat="1" applyFont="1" applyFill="1" applyBorder="1" applyAlignment="1">
      <alignment horizontal="center"/>
    </xf>
    <xf numFmtId="2" fontId="2" fillId="10" borderId="36" xfId="0" applyNumberFormat="1" applyFont="1" applyFill="1" applyBorder="1" applyAlignment="1">
      <alignment horizontal="center" vertical="center"/>
    </xf>
    <xf numFmtId="2" fontId="2" fillId="8" borderId="36" xfId="0" applyNumberFormat="1" applyFont="1" applyFill="1" applyBorder="1" applyAlignment="1">
      <alignment horizontal="center" vertical="center"/>
    </xf>
    <xf numFmtId="2" fontId="2" fillId="8" borderId="37" xfId="0" applyNumberFormat="1" applyFont="1" applyFill="1" applyBorder="1" applyAlignment="1">
      <alignment horizontal="center" vertical="center"/>
    </xf>
    <xf numFmtId="2" fontId="10" fillId="11" borderId="28" xfId="0" applyNumberFormat="1" applyFont="1" applyFill="1" applyBorder="1" applyAlignment="1">
      <alignment vertical="center"/>
    </xf>
    <xf numFmtId="2" fontId="10" fillId="11" borderId="2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" fontId="11" fillId="0" borderId="2" xfId="0" applyNumberFormat="1" applyFont="1" applyBorder="1"/>
    <xf numFmtId="2" fontId="12" fillId="0" borderId="2" xfId="0" applyNumberFormat="1" applyFont="1" applyBorder="1"/>
    <xf numFmtId="2" fontId="11" fillId="0" borderId="0" xfId="0" applyNumberFormat="1" applyFont="1"/>
    <xf numFmtId="2" fontId="11" fillId="0" borderId="0" xfId="0" applyNumberFormat="1" applyFont="1" applyFill="1"/>
    <xf numFmtId="2" fontId="13" fillId="0" borderId="1" xfId="0" applyNumberFormat="1" applyFont="1" applyBorder="1"/>
    <xf numFmtId="2" fontId="13" fillId="0" borderId="2" xfId="0" applyNumberFormat="1" applyFont="1" applyBorder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1" xfId="3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15" fillId="0" borderId="0" xfId="0" applyNumberFormat="1" applyFont="1" applyFill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left"/>
    </xf>
    <xf numFmtId="0" fontId="4" fillId="0" borderId="1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1" xfId="5" applyFont="1" applyFill="1" applyBorder="1" applyAlignment="1">
      <alignment horizontal="left" vertical="center"/>
    </xf>
    <xf numFmtId="1" fontId="3" fillId="0" borderId="1" xfId="5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5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1" fontId="2" fillId="4" borderId="1" xfId="3" applyNumberFormat="1" applyFont="1" applyFill="1" applyBorder="1" applyAlignment="1">
      <alignment horizontal="center"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Fill="1"/>
    <xf numFmtId="0" fontId="14" fillId="0" borderId="11" xfId="0" applyFont="1" applyBorder="1" applyAlignment="1">
      <alignment vertical="center"/>
    </xf>
    <xf numFmtId="164" fontId="7" fillId="2" borderId="1" xfId="3" applyNumberFormat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vertical="center"/>
    </xf>
    <xf numFmtId="1" fontId="7" fillId="0" borderId="1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2" fillId="0" borderId="1" xfId="3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right" vertical="center" wrapText="1"/>
    </xf>
    <xf numFmtId="0" fontId="9" fillId="8" borderId="19" xfId="0" applyFont="1" applyFill="1" applyBorder="1" applyAlignment="1">
      <alignment horizontal="right" vertical="center" wrapText="1"/>
    </xf>
    <xf numFmtId="0" fontId="9" fillId="11" borderId="38" xfId="0" applyFont="1" applyFill="1" applyBorder="1" applyAlignment="1">
      <alignment horizontal="right" vertical="center" wrapText="1"/>
    </xf>
    <xf numFmtId="0" fontId="9" fillId="11" borderId="39" xfId="0" applyFont="1" applyFill="1" applyBorder="1" applyAlignment="1">
      <alignment horizontal="right" vertical="center" wrapText="1"/>
    </xf>
    <xf numFmtId="0" fontId="9" fillId="11" borderId="27" xfId="0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10" borderId="35" xfId="0" applyFont="1" applyFill="1" applyBorder="1" applyAlignment="1">
      <alignment horizontal="right" vertical="center" wrapText="1"/>
    </xf>
    <xf numFmtId="0" fontId="9" fillId="10" borderId="36" xfId="0" applyFont="1" applyFill="1" applyBorder="1" applyAlignment="1">
      <alignment horizontal="right" vertical="center" wrapText="1"/>
    </xf>
    <xf numFmtId="0" fontId="9" fillId="9" borderId="32" xfId="0" applyFont="1" applyFill="1" applyBorder="1" applyAlignment="1">
      <alignment horizontal="right" vertical="center" wrapText="1"/>
    </xf>
    <xf numFmtId="0" fontId="9" fillId="9" borderId="21" xfId="0" applyFont="1" applyFill="1" applyBorder="1" applyAlignment="1">
      <alignment horizontal="right" vertical="center" wrapText="1"/>
    </xf>
    <xf numFmtId="0" fontId="9" fillId="9" borderId="22" xfId="0" applyFont="1" applyFill="1" applyBorder="1" applyAlignment="1">
      <alignment horizontal="right" vertical="center" wrapText="1"/>
    </xf>
    <xf numFmtId="0" fontId="9" fillId="8" borderId="18" xfId="0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left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40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40" xfId="3" applyFont="1" applyFill="1" applyBorder="1" applyAlignment="1">
      <alignment horizontal="left" vertical="center" wrapText="1"/>
    </xf>
    <xf numFmtId="0" fontId="2" fillId="2" borderId="5" xfId="3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left" vertical="center" wrapText="1"/>
    </xf>
    <xf numFmtId="0" fontId="2" fillId="2" borderId="40" xfId="3" applyFont="1" applyFill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40" xfId="3" applyFont="1" applyBorder="1" applyAlignment="1">
      <alignment horizontal="center" vertical="center" wrapText="1"/>
    </xf>
    <xf numFmtId="2" fontId="2" fillId="0" borderId="5" xfId="3" applyNumberFormat="1" applyFont="1" applyFill="1" applyBorder="1" applyAlignment="1">
      <alignment horizontal="center" vertical="center" wrapText="1"/>
    </xf>
    <xf numFmtId="2" fontId="2" fillId="0" borderId="9" xfId="3" applyNumberFormat="1" applyFont="1" applyFill="1" applyBorder="1" applyAlignment="1">
      <alignment horizontal="center" vertical="center" wrapText="1"/>
    </xf>
    <xf numFmtId="2" fontId="2" fillId="0" borderId="40" xfId="3" applyNumberFormat="1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40" xfId="3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7">
    <cellStyle name="Обычный" xfId="0" builtinId="0"/>
    <cellStyle name="Обычный_2 неделя" xfId="1" xr:uid="{00000000-0005-0000-0000-000002000000}"/>
    <cellStyle name="Обычный_Лист1" xfId="2" xr:uid="{00000000-0005-0000-0000-000003000000}"/>
    <cellStyle name="Обычный_Лист2" xfId="3" xr:uid="{00000000-0005-0000-0000-000004000000}"/>
    <cellStyle name="Обычный_Лист3" xfId="4" xr:uid="{00000000-0005-0000-0000-000005000000}"/>
    <cellStyle name="Обычный_ХЭХ 1С" xfId="5" xr:uid="{00000000-0005-0000-0000-000006000000}"/>
    <cellStyle name="Обычный_ХЭХ из 1С  (2)" xfId="6" xr:uid="{00000000-0005-0000-0000-000007000000}"/>
  </cellStyles>
  <dxfs count="23"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6"/>
  <sheetViews>
    <sheetView tabSelected="1" topLeftCell="A94" zoomScaleNormal="100" workbookViewId="0">
      <selection activeCell="N11" sqref="N11"/>
    </sheetView>
  </sheetViews>
  <sheetFormatPr defaultColWidth="9" defaultRowHeight="18.75" x14ac:dyDescent="0.3"/>
  <cols>
    <col min="1" max="1" width="9.140625" style="108" customWidth="1"/>
    <col min="2" max="2" width="38.42578125" style="107" customWidth="1"/>
    <col min="3" max="3" width="9.85546875" style="109" customWidth="1"/>
    <col min="4" max="4" width="9.85546875" style="110" customWidth="1"/>
    <col min="5" max="5" width="10.28515625" style="110" customWidth="1"/>
    <col min="6" max="6" width="9.85546875" style="110" customWidth="1"/>
    <col min="7" max="7" width="12.7109375" style="110" customWidth="1"/>
    <col min="8" max="8" width="8.5703125" style="111" customWidth="1"/>
    <col min="9" max="9" width="7" style="111" customWidth="1"/>
    <col min="10" max="10" width="8" style="111" customWidth="1"/>
    <col min="11" max="11" width="9.85546875" style="111" customWidth="1"/>
    <col min="12" max="12" width="11" style="111" customWidth="1"/>
    <col min="13" max="16384" width="9" style="107"/>
  </cols>
  <sheetData>
    <row r="1" spans="1:15" s="91" customFormat="1" x14ac:dyDescent="0.3">
      <c r="A1" s="220" t="s">
        <v>141</v>
      </c>
      <c r="B1" s="220"/>
      <c r="D1" s="92"/>
      <c r="E1" s="92"/>
      <c r="J1" s="117"/>
      <c r="K1" s="97" t="s">
        <v>142</v>
      </c>
      <c r="L1" s="117"/>
      <c r="M1" s="114"/>
      <c r="N1" s="114"/>
      <c r="O1" s="114"/>
    </row>
    <row r="2" spans="1:15" s="91" customFormat="1" x14ac:dyDescent="0.3">
      <c r="A2" s="220" t="s">
        <v>143</v>
      </c>
      <c r="B2" s="220"/>
      <c r="D2" s="92"/>
      <c r="E2" s="92"/>
      <c r="J2" s="117"/>
      <c r="K2" s="97" t="s">
        <v>144</v>
      </c>
      <c r="L2" s="117"/>
      <c r="M2" s="114"/>
      <c r="N2" s="114"/>
      <c r="O2" s="114"/>
    </row>
    <row r="3" spans="1:15" s="93" customFormat="1" ht="55.5" customHeight="1" x14ac:dyDescent="0.2">
      <c r="A3" s="217" t="s">
        <v>152</v>
      </c>
      <c r="B3" s="217"/>
      <c r="D3" s="94"/>
      <c r="E3" s="94"/>
      <c r="I3" s="221" t="s">
        <v>147</v>
      </c>
      <c r="J3" s="221"/>
      <c r="K3" s="221"/>
      <c r="L3" s="221"/>
      <c r="M3" s="112"/>
      <c r="N3" s="112"/>
      <c r="O3" s="112"/>
    </row>
    <row r="4" spans="1:15" s="93" customFormat="1" x14ac:dyDescent="0.2">
      <c r="A4" s="219"/>
      <c r="B4" s="219"/>
      <c r="C4" s="219"/>
      <c r="D4" s="219"/>
      <c r="E4" s="94"/>
      <c r="K4" s="94"/>
      <c r="L4" s="94"/>
      <c r="M4" s="94"/>
      <c r="N4" s="94"/>
      <c r="O4" s="94"/>
    </row>
    <row r="5" spans="1:15" s="93" customFormat="1" x14ac:dyDescent="0.2">
      <c r="A5" s="95"/>
      <c r="B5" s="95"/>
      <c r="D5" s="94"/>
      <c r="E5" s="94"/>
      <c r="K5" s="113"/>
      <c r="L5" s="113"/>
      <c r="M5" s="113"/>
      <c r="N5" s="113"/>
      <c r="O5" s="113"/>
    </row>
    <row r="6" spans="1:15" s="91" customFormat="1" x14ac:dyDescent="0.3">
      <c r="A6" s="119"/>
      <c r="B6" s="116"/>
      <c r="C6" s="96" t="s">
        <v>153</v>
      </c>
      <c r="D6" s="92"/>
      <c r="E6" s="92"/>
      <c r="G6" s="116"/>
      <c r="H6" s="116"/>
      <c r="I6" s="116"/>
      <c r="J6" s="118"/>
      <c r="K6" s="118" t="s">
        <v>145</v>
      </c>
      <c r="L6" s="115"/>
    </row>
    <row r="7" spans="1:15" s="91" customFormat="1" x14ac:dyDescent="0.3">
      <c r="A7" s="119"/>
      <c r="B7" s="98"/>
      <c r="D7" s="92"/>
      <c r="E7" s="92"/>
      <c r="K7" s="92"/>
      <c r="L7" s="99"/>
      <c r="M7" s="99"/>
      <c r="N7" s="99"/>
      <c r="O7" s="99"/>
    </row>
    <row r="8" spans="1:15" s="91" customFormat="1" x14ac:dyDescent="0.3">
      <c r="A8" s="96" t="s">
        <v>146</v>
      </c>
      <c r="B8" s="98"/>
      <c r="D8" s="92"/>
      <c r="E8" s="92"/>
      <c r="K8" s="92"/>
      <c r="L8" s="99"/>
      <c r="M8" s="99"/>
      <c r="N8" s="99"/>
      <c r="O8" s="99"/>
    </row>
    <row r="9" spans="1:15" s="91" customFormat="1" x14ac:dyDescent="0.3">
      <c r="A9" s="145" t="s">
        <v>155</v>
      </c>
      <c r="B9" s="145"/>
      <c r="C9" s="100" t="s">
        <v>156</v>
      </c>
      <c r="D9" s="101"/>
      <c r="E9" s="101"/>
    </row>
    <row r="10" spans="1:15" s="100" customFormat="1" ht="21" customHeight="1" x14ac:dyDescent="0.2">
      <c r="A10" s="102" t="s">
        <v>157</v>
      </c>
      <c r="B10" s="102"/>
      <c r="C10" s="100" t="s">
        <v>158</v>
      </c>
      <c r="D10" s="101"/>
      <c r="E10" s="101"/>
      <c r="F10" s="218" t="s">
        <v>154</v>
      </c>
      <c r="G10" s="218"/>
      <c r="H10" s="218"/>
      <c r="I10" s="218"/>
      <c r="J10" s="218"/>
      <c r="K10" s="218"/>
      <c r="L10" s="112"/>
      <c r="M10" s="112"/>
      <c r="N10" s="112"/>
      <c r="O10" s="112"/>
    </row>
    <row r="11" spans="1:15" s="100" customFormat="1" ht="15.75" customHeight="1" x14ac:dyDescent="0.2">
      <c r="A11" s="102" t="s">
        <v>159</v>
      </c>
      <c r="B11" s="102"/>
      <c r="C11" s="100" t="s">
        <v>160</v>
      </c>
      <c r="D11" s="101"/>
      <c r="E11" s="101"/>
      <c r="F11" s="218"/>
      <c r="G11" s="218"/>
      <c r="H11" s="218"/>
      <c r="I11" s="218"/>
      <c r="J11" s="218"/>
      <c r="K11" s="218"/>
      <c r="L11" s="112"/>
      <c r="M11" s="112"/>
      <c r="N11" s="112"/>
      <c r="O11" s="112"/>
    </row>
    <row r="12" spans="1:15" s="100" customFormat="1" ht="15.75" customHeight="1" x14ac:dyDescent="0.2">
      <c r="A12" s="102" t="s">
        <v>161</v>
      </c>
      <c r="B12" s="102"/>
      <c r="C12" s="100" t="s">
        <v>162</v>
      </c>
      <c r="D12" s="101"/>
      <c r="E12" s="101"/>
      <c r="F12" s="218"/>
      <c r="G12" s="218"/>
      <c r="H12" s="218"/>
      <c r="I12" s="218"/>
      <c r="J12" s="218"/>
      <c r="K12" s="218"/>
      <c r="L12" s="112"/>
      <c r="M12" s="112"/>
      <c r="N12" s="112"/>
      <c r="O12" s="112"/>
    </row>
    <row r="13" spans="1:15" s="100" customFormat="1" ht="15.75" customHeight="1" x14ac:dyDescent="0.2">
      <c r="A13" s="102" t="s">
        <v>163</v>
      </c>
      <c r="B13" s="102"/>
      <c r="C13" s="100" t="s">
        <v>164</v>
      </c>
      <c r="D13" s="101"/>
      <c r="E13" s="101"/>
      <c r="F13" s="218"/>
      <c r="G13" s="218"/>
      <c r="H13" s="218"/>
      <c r="I13" s="218"/>
      <c r="J13" s="218"/>
      <c r="K13" s="218"/>
      <c r="L13" s="112"/>
      <c r="M13" s="112"/>
      <c r="N13" s="112"/>
      <c r="O13" s="112"/>
    </row>
    <row r="14" spans="1:15" s="100" customFormat="1" ht="15.75" customHeight="1" x14ac:dyDescent="0.2">
      <c r="A14" s="102" t="s">
        <v>165</v>
      </c>
      <c r="B14" s="102"/>
      <c r="C14" s="100" t="s">
        <v>166</v>
      </c>
      <c r="D14" s="1"/>
      <c r="E14" s="1"/>
      <c r="F14" s="218"/>
      <c r="G14" s="218"/>
      <c r="H14" s="218"/>
      <c r="I14" s="218"/>
      <c r="J14" s="218"/>
      <c r="K14" s="218"/>
      <c r="L14" s="112"/>
      <c r="M14" s="112"/>
      <c r="N14" s="112"/>
      <c r="O14" s="112"/>
    </row>
    <row r="15" spans="1:15" s="100" customFormat="1" ht="15.75" customHeight="1" x14ac:dyDescent="0.2">
      <c r="A15" s="102" t="s">
        <v>167</v>
      </c>
      <c r="B15" s="102"/>
      <c r="C15" s="100" t="s">
        <v>168</v>
      </c>
      <c r="D15" s="101"/>
      <c r="E15" s="1"/>
      <c r="F15" s="218"/>
      <c r="G15" s="218"/>
      <c r="H15" s="218"/>
      <c r="I15" s="218"/>
      <c r="J15" s="218"/>
      <c r="K15" s="218"/>
      <c r="L15" s="112"/>
      <c r="M15" s="112"/>
      <c r="N15" s="112"/>
      <c r="O15" s="112"/>
    </row>
    <row r="16" spans="1:15" s="100" customFormat="1" ht="15.75" customHeight="1" x14ac:dyDescent="0.2">
      <c r="A16" s="102" t="s">
        <v>169</v>
      </c>
      <c r="B16" s="102"/>
      <c r="C16" s="100" t="s">
        <v>170</v>
      </c>
      <c r="D16" s="101"/>
      <c r="E16" s="101"/>
      <c r="F16" s="218"/>
      <c r="G16" s="218"/>
      <c r="H16" s="218"/>
      <c r="I16" s="218"/>
      <c r="J16" s="218"/>
      <c r="K16" s="218"/>
      <c r="L16" s="112"/>
      <c r="M16" s="112"/>
      <c r="N16" s="112"/>
      <c r="O16" s="112"/>
    </row>
    <row r="17" spans="1:15" s="100" customFormat="1" ht="15.75" customHeight="1" x14ac:dyDescent="0.2">
      <c r="A17" s="102" t="s">
        <v>171</v>
      </c>
      <c r="B17" s="102"/>
      <c r="C17" s="100" t="s">
        <v>172</v>
      </c>
      <c r="D17" s="101"/>
      <c r="E17" s="101"/>
      <c r="F17" s="218"/>
      <c r="G17" s="218"/>
      <c r="H17" s="218"/>
      <c r="I17" s="218"/>
      <c r="J17" s="218"/>
      <c r="K17" s="218"/>
      <c r="L17" s="112"/>
      <c r="M17" s="112"/>
      <c r="N17" s="112"/>
      <c r="O17" s="112"/>
    </row>
    <row r="18" spans="1:15" s="100" customFormat="1" ht="15.75" customHeight="1" x14ac:dyDescent="0.2">
      <c r="A18" s="102" t="s">
        <v>173</v>
      </c>
      <c r="B18" s="102"/>
      <c r="C18" s="100" t="s">
        <v>174</v>
      </c>
      <c r="D18" s="103"/>
      <c r="E18" s="103"/>
      <c r="F18" s="218"/>
      <c r="G18" s="218"/>
      <c r="H18" s="218"/>
      <c r="I18" s="218"/>
      <c r="J18" s="218"/>
      <c r="K18" s="218"/>
      <c r="L18" s="112"/>
      <c r="M18" s="112"/>
      <c r="N18" s="112"/>
      <c r="O18" s="112"/>
    </row>
    <row r="19" spans="1:15" s="100" customFormat="1" ht="15.75" customHeight="1" x14ac:dyDescent="0.2">
      <c r="A19" s="102" t="s">
        <v>175</v>
      </c>
      <c r="B19" s="243"/>
      <c r="C19" s="244" t="s">
        <v>176</v>
      </c>
      <c r="D19" s="95"/>
      <c r="E19" s="95"/>
      <c r="F19" s="218"/>
      <c r="G19" s="218"/>
      <c r="H19" s="218"/>
      <c r="I19" s="218"/>
      <c r="J19" s="218"/>
      <c r="K19" s="218"/>
      <c r="L19" s="112"/>
      <c r="M19" s="112"/>
      <c r="N19" s="112"/>
      <c r="O19" s="112"/>
    </row>
    <row r="20" spans="1:15" s="100" customFormat="1" ht="15.75" customHeight="1" x14ac:dyDescent="0.2">
      <c r="A20" s="102" t="s">
        <v>177</v>
      </c>
      <c r="B20" s="243"/>
      <c r="C20" s="244" t="s">
        <v>178</v>
      </c>
      <c r="D20" s="95"/>
      <c r="E20" s="95"/>
      <c r="F20" s="218"/>
      <c r="G20" s="218"/>
      <c r="H20" s="218"/>
      <c r="I20" s="218"/>
      <c r="J20" s="218"/>
      <c r="K20" s="218"/>
      <c r="L20" s="112"/>
      <c r="M20" s="112"/>
      <c r="N20" s="112"/>
      <c r="O20" s="112"/>
    </row>
    <row r="21" spans="1:15" s="100" customFormat="1" ht="15.75" customHeight="1" x14ac:dyDescent="0.2">
      <c r="A21" s="102" t="s">
        <v>179</v>
      </c>
      <c r="B21" s="243"/>
      <c r="C21" s="244" t="s">
        <v>180</v>
      </c>
      <c r="D21" s="95"/>
      <c r="E21" s="95"/>
      <c r="F21" s="218"/>
      <c r="G21" s="218"/>
      <c r="H21" s="218"/>
      <c r="I21" s="218"/>
      <c r="J21" s="218"/>
      <c r="K21" s="218"/>
      <c r="L21" s="112"/>
      <c r="M21" s="112"/>
      <c r="N21" s="112"/>
      <c r="O21" s="112"/>
    </row>
    <row r="22" spans="1:15" s="100" customFormat="1" ht="15.75" customHeight="1" x14ac:dyDescent="0.2">
      <c r="A22" s="102" t="s">
        <v>181</v>
      </c>
      <c r="B22" s="243"/>
      <c r="C22" s="244" t="s">
        <v>182</v>
      </c>
      <c r="D22" s="95"/>
      <c r="E22" s="95"/>
      <c r="F22" s="218"/>
      <c r="G22" s="218"/>
      <c r="H22" s="218"/>
      <c r="I22" s="218"/>
      <c r="J22" s="218"/>
      <c r="K22" s="218"/>
      <c r="L22" s="112"/>
      <c r="M22" s="112"/>
      <c r="N22" s="112"/>
      <c r="O22" s="112"/>
    </row>
    <row r="23" spans="1:15" s="100" customFormat="1" ht="15.75" customHeight="1" x14ac:dyDescent="0.3">
      <c r="A23" s="104"/>
      <c r="B23" s="98"/>
      <c r="C23" s="105"/>
      <c r="D23" s="98"/>
      <c r="E23" s="98"/>
      <c r="F23" s="218"/>
      <c r="G23" s="218"/>
      <c r="H23" s="218"/>
      <c r="I23" s="218"/>
      <c r="J23" s="218"/>
      <c r="K23" s="218"/>
      <c r="L23" s="112"/>
      <c r="M23" s="112"/>
      <c r="N23" s="112"/>
      <c r="O23" s="112"/>
    </row>
    <row r="24" spans="1:15" s="104" customFormat="1" x14ac:dyDescent="0.3">
      <c r="B24" s="98"/>
      <c r="C24" s="105"/>
      <c r="D24" s="98"/>
      <c r="E24" s="98"/>
      <c r="F24" s="98"/>
      <c r="G24" s="98"/>
      <c r="H24" s="98"/>
      <c r="I24" s="98"/>
      <c r="J24" s="98"/>
    </row>
    <row r="25" spans="1:15" s="104" customFormat="1" x14ac:dyDescent="0.3">
      <c r="B25" s="98"/>
      <c r="C25" s="105"/>
      <c r="D25" s="98"/>
      <c r="E25" s="98"/>
      <c r="F25" s="98"/>
      <c r="G25" s="98"/>
      <c r="H25" s="98"/>
      <c r="I25" s="98"/>
      <c r="J25" s="98"/>
    </row>
    <row r="26" spans="1:15" ht="18.75" customHeight="1" x14ac:dyDescent="0.3">
      <c r="A26" s="240" t="s">
        <v>0</v>
      </c>
      <c r="B26" s="241"/>
      <c r="C26" s="241"/>
      <c r="D26" s="241"/>
      <c r="E26" s="241"/>
      <c r="F26" s="241"/>
      <c r="G26" s="242"/>
      <c r="H26" s="106"/>
      <c r="I26" s="106"/>
      <c r="J26" s="106"/>
      <c r="K26" s="106"/>
      <c r="L26" s="106"/>
    </row>
    <row r="27" spans="1:15" s="144" customFormat="1" ht="15.75" customHeight="1" x14ac:dyDescent="0.25">
      <c r="A27" s="215" t="s">
        <v>1</v>
      </c>
      <c r="B27" s="215" t="s">
        <v>2</v>
      </c>
      <c r="C27" s="216" t="s">
        <v>3</v>
      </c>
      <c r="D27" s="237" t="s">
        <v>4</v>
      </c>
      <c r="E27" s="238"/>
      <c r="F27" s="239"/>
      <c r="G27" s="214" t="s">
        <v>5</v>
      </c>
      <c r="H27" s="214" t="s">
        <v>6</v>
      </c>
      <c r="I27" s="214"/>
      <c r="J27" s="214"/>
      <c r="K27" s="214" t="s">
        <v>7</v>
      </c>
      <c r="L27" s="214"/>
    </row>
    <row r="28" spans="1:15" s="144" customFormat="1" ht="28.5" customHeight="1" x14ac:dyDescent="0.25">
      <c r="A28" s="215"/>
      <c r="B28" s="215"/>
      <c r="C28" s="216"/>
      <c r="D28" s="22" t="s">
        <v>8</v>
      </c>
      <c r="E28" s="22" t="s">
        <v>9</v>
      </c>
      <c r="F28" s="22" t="s">
        <v>10</v>
      </c>
      <c r="G28" s="214"/>
      <c r="H28" s="22" t="s">
        <v>11</v>
      </c>
      <c r="I28" s="22" t="s">
        <v>12</v>
      </c>
      <c r="J28" s="22" t="s">
        <v>13</v>
      </c>
      <c r="K28" s="22" t="s">
        <v>14</v>
      </c>
      <c r="L28" s="22" t="s">
        <v>15</v>
      </c>
    </row>
    <row r="29" spans="1:15" ht="19.5" customHeight="1" x14ac:dyDescent="0.3">
      <c r="A29" s="234" t="s">
        <v>16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6"/>
    </row>
    <row r="30" spans="1:15" s="5" customFormat="1" ht="31.5" customHeight="1" x14ac:dyDescent="0.25">
      <c r="A30" s="146">
        <v>120</v>
      </c>
      <c r="B30" s="8" t="s">
        <v>17</v>
      </c>
      <c r="C30" s="9">
        <v>250</v>
      </c>
      <c r="D30" s="10">
        <v>5.48</v>
      </c>
      <c r="E30" s="10">
        <v>4.75</v>
      </c>
      <c r="F30" s="10">
        <v>17.95</v>
      </c>
      <c r="G30" s="10">
        <v>150</v>
      </c>
      <c r="H30" s="11">
        <v>0.14000000000000001</v>
      </c>
      <c r="I30" s="11">
        <v>0.19</v>
      </c>
      <c r="J30" s="11">
        <v>0.83</v>
      </c>
      <c r="K30" s="11">
        <v>130</v>
      </c>
      <c r="L30" s="11">
        <v>205</v>
      </c>
    </row>
    <row r="31" spans="1:15" s="5" customFormat="1" ht="15.75" x14ac:dyDescent="0.25">
      <c r="A31" s="146">
        <v>14</v>
      </c>
      <c r="B31" s="8" t="s">
        <v>18</v>
      </c>
      <c r="C31" s="9">
        <v>10</v>
      </c>
      <c r="D31" s="10">
        <v>0.08</v>
      </c>
      <c r="E31" s="10">
        <f>7.25-1</f>
        <v>6.25</v>
      </c>
      <c r="F31" s="10">
        <v>0.13</v>
      </c>
      <c r="G31" s="10">
        <v>66.09</v>
      </c>
      <c r="H31" s="11"/>
      <c r="I31" s="11">
        <v>0.01</v>
      </c>
      <c r="J31" s="11"/>
      <c r="K31" s="11">
        <v>2.4</v>
      </c>
      <c r="L31" s="11">
        <v>3</v>
      </c>
    </row>
    <row r="32" spans="1:15" s="5" customFormat="1" ht="15.75" x14ac:dyDescent="0.25">
      <c r="A32" s="147" t="s">
        <v>19</v>
      </c>
      <c r="B32" s="13" t="s">
        <v>20</v>
      </c>
      <c r="C32" s="12">
        <v>15</v>
      </c>
      <c r="D32" s="14">
        <v>4</v>
      </c>
      <c r="E32" s="14">
        <v>3.9</v>
      </c>
      <c r="F32" s="14">
        <v>0</v>
      </c>
      <c r="G32" s="14">
        <v>54</v>
      </c>
      <c r="H32" s="15">
        <v>5.0000000000000001E-3</v>
      </c>
      <c r="I32" s="15">
        <v>0.09</v>
      </c>
      <c r="J32" s="15">
        <v>0.1</v>
      </c>
      <c r="K32" s="15">
        <f>132-50</f>
        <v>82</v>
      </c>
      <c r="L32" s="15">
        <v>75</v>
      </c>
    </row>
    <row r="33" spans="1:17" s="5" customFormat="1" ht="15.75" x14ac:dyDescent="0.25">
      <c r="A33" s="146" t="s">
        <v>21</v>
      </c>
      <c r="B33" s="8" t="s">
        <v>22</v>
      </c>
      <c r="C33" s="9">
        <v>40</v>
      </c>
      <c r="D33" s="10">
        <v>5.08</v>
      </c>
      <c r="E33" s="10">
        <v>4.5999999999999996</v>
      </c>
      <c r="F33" s="10">
        <v>0.28000000000000003</v>
      </c>
      <c r="G33" s="10">
        <v>63</v>
      </c>
      <c r="H33" s="11">
        <v>0.03</v>
      </c>
      <c r="I33" s="11">
        <v>0.03</v>
      </c>
      <c r="J33" s="11"/>
      <c r="K33" s="11">
        <v>22</v>
      </c>
      <c r="L33" s="11">
        <v>76.8</v>
      </c>
    </row>
    <row r="34" spans="1:17" s="5" customFormat="1" ht="15.75" x14ac:dyDescent="0.25">
      <c r="A34" s="148" t="s">
        <v>23</v>
      </c>
      <c r="B34" s="8" t="s">
        <v>24</v>
      </c>
      <c r="C34" s="9">
        <v>100</v>
      </c>
      <c r="D34" s="10">
        <v>0.4</v>
      </c>
      <c r="E34" s="10">
        <v>0.2</v>
      </c>
      <c r="F34" s="10">
        <v>9.8000000000000007</v>
      </c>
      <c r="G34" s="10">
        <v>47</v>
      </c>
      <c r="H34" s="11">
        <v>0.04</v>
      </c>
      <c r="I34" s="11">
        <v>0.05</v>
      </c>
      <c r="J34" s="11">
        <v>10</v>
      </c>
      <c r="K34" s="11">
        <v>16</v>
      </c>
      <c r="L34" s="11">
        <v>11</v>
      </c>
    </row>
    <row r="35" spans="1:17" s="5" customFormat="1" ht="15.75" x14ac:dyDescent="0.25">
      <c r="A35" s="149" t="s">
        <v>25</v>
      </c>
      <c r="B35" s="16" t="s">
        <v>26</v>
      </c>
      <c r="C35" s="17">
        <v>222</v>
      </c>
      <c r="D35" s="18">
        <v>0.13</v>
      </c>
      <c r="E35" s="18">
        <v>0.02</v>
      </c>
      <c r="F35" s="18">
        <v>15.2</v>
      </c>
      <c r="G35" s="18">
        <v>62</v>
      </c>
      <c r="H35" s="19"/>
      <c r="I35" s="19">
        <f>SUM(I30:I34)</f>
        <v>0.37000000000000005</v>
      </c>
      <c r="J35" s="19">
        <v>2.83</v>
      </c>
      <c r="K35" s="19">
        <v>14.2</v>
      </c>
      <c r="L35" s="19">
        <v>4.4000000000000004</v>
      </c>
    </row>
    <row r="36" spans="1:17" s="5" customFormat="1" ht="15.75" x14ac:dyDescent="0.25">
      <c r="A36" s="146"/>
      <c r="B36" s="16" t="s">
        <v>27</v>
      </c>
      <c r="C36" s="17">
        <v>40</v>
      </c>
      <c r="D36" s="18">
        <v>3.2</v>
      </c>
      <c r="E36" s="18">
        <v>0.79</v>
      </c>
      <c r="F36" s="18">
        <v>29.68</v>
      </c>
      <c r="G36" s="18">
        <v>104</v>
      </c>
      <c r="H36" s="19">
        <v>6.2000000000000006E-2</v>
      </c>
      <c r="I36" s="19"/>
      <c r="J36" s="19">
        <v>0.8</v>
      </c>
      <c r="K36" s="19">
        <v>18.044444444444444</v>
      </c>
      <c r="L36" s="19">
        <v>26</v>
      </c>
    </row>
    <row r="37" spans="1:17" s="5" customFormat="1" ht="15.75" x14ac:dyDescent="0.25">
      <c r="A37" s="150"/>
      <c r="B37" s="20" t="s">
        <v>28</v>
      </c>
      <c r="C37" s="20">
        <f>SUM(C30:C36)</f>
        <v>677</v>
      </c>
      <c r="D37" s="21">
        <f t="shared" ref="D37:L37" si="0">SUM(D30:D36)</f>
        <v>18.37</v>
      </c>
      <c r="E37" s="186">
        <f t="shared" si="0"/>
        <v>20.509999999999998</v>
      </c>
      <c r="F37" s="186">
        <f t="shared" si="0"/>
        <v>73.039999999999992</v>
      </c>
      <c r="G37" s="186">
        <f t="shared" si="0"/>
        <v>546.09</v>
      </c>
      <c r="H37" s="186">
        <f t="shared" si="0"/>
        <v>0.27700000000000002</v>
      </c>
      <c r="I37" s="186">
        <f>SUM(I30:I36)</f>
        <v>0.7400000000000001</v>
      </c>
      <c r="J37" s="186">
        <f t="shared" si="0"/>
        <v>14.56</v>
      </c>
      <c r="K37" s="186">
        <f t="shared" si="0"/>
        <v>284.64444444444445</v>
      </c>
      <c r="L37" s="186">
        <f t="shared" si="0"/>
        <v>401.2</v>
      </c>
    </row>
    <row r="38" spans="1:17" s="5" customFormat="1" ht="15.75" x14ac:dyDescent="0.25">
      <c r="A38" s="222" t="s">
        <v>29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4"/>
    </row>
    <row r="39" spans="1:17" s="5" customFormat="1" ht="15.75" x14ac:dyDescent="0.25">
      <c r="A39" s="146"/>
      <c r="B39" s="8" t="s">
        <v>30</v>
      </c>
      <c r="C39" s="9">
        <v>100</v>
      </c>
      <c r="D39" s="10">
        <v>1.1000000000000001</v>
      </c>
      <c r="E39" s="10">
        <v>0.2</v>
      </c>
      <c r="F39" s="10">
        <v>3.8</v>
      </c>
      <c r="G39" s="10">
        <v>24</v>
      </c>
      <c r="H39" s="11">
        <v>0.06</v>
      </c>
      <c r="I39" s="11">
        <v>0.17</v>
      </c>
      <c r="J39" s="11">
        <v>18</v>
      </c>
      <c r="K39" s="11">
        <v>20.3</v>
      </c>
      <c r="L39" s="11">
        <v>26</v>
      </c>
    </row>
    <row r="40" spans="1:17" s="5" customFormat="1" ht="39" customHeight="1" x14ac:dyDescent="0.25">
      <c r="A40" s="151">
        <v>82</v>
      </c>
      <c r="B40" s="23" t="s">
        <v>31</v>
      </c>
      <c r="C40" s="24">
        <v>250</v>
      </c>
      <c r="D40" s="25">
        <v>1.8</v>
      </c>
      <c r="E40" s="25">
        <v>8.18</v>
      </c>
      <c r="F40" s="25">
        <v>10.69</v>
      </c>
      <c r="G40" s="25">
        <v>103.75</v>
      </c>
      <c r="H40" s="26">
        <v>0.05</v>
      </c>
      <c r="I40" s="26">
        <v>0.1</v>
      </c>
      <c r="J40" s="26">
        <v>9.43</v>
      </c>
      <c r="K40" s="26">
        <v>63.75</v>
      </c>
      <c r="L40" s="26">
        <v>169.94</v>
      </c>
    </row>
    <row r="41" spans="1:17" s="5" customFormat="1" ht="15.75" x14ac:dyDescent="0.25">
      <c r="A41" s="146" t="s">
        <v>32</v>
      </c>
      <c r="B41" s="8" t="s">
        <v>33</v>
      </c>
      <c r="C41" s="9">
        <v>100</v>
      </c>
      <c r="D41" s="25">
        <v>12.56</v>
      </c>
      <c r="E41" s="25">
        <v>12.52</v>
      </c>
      <c r="F41" s="25">
        <v>0.12</v>
      </c>
      <c r="G41" s="25">
        <v>163.75</v>
      </c>
      <c r="H41" s="26">
        <v>0.06</v>
      </c>
      <c r="I41" s="26">
        <v>0.11</v>
      </c>
      <c r="J41" s="26">
        <v>0.22</v>
      </c>
      <c r="K41" s="26">
        <v>42.84</v>
      </c>
      <c r="L41" s="26">
        <v>124.63</v>
      </c>
    </row>
    <row r="42" spans="1:17" s="5" customFormat="1" ht="15.75" x14ac:dyDescent="0.25">
      <c r="A42" s="146" t="s">
        <v>34</v>
      </c>
      <c r="B42" s="8" t="s">
        <v>35</v>
      </c>
      <c r="C42" s="9">
        <v>180</v>
      </c>
      <c r="D42" s="10">
        <v>7.09</v>
      </c>
      <c r="E42" s="10">
        <v>7.31</v>
      </c>
      <c r="F42" s="10">
        <v>46.37</v>
      </c>
      <c r="G42" s="10">
        <v>297.36</v>
      </c>
      <c r="H42" s="11">
        <v>0.17</v>
      </c>
      <c r="I42" s="11">
        <v>0.18</v>
      </c>
      <c r="J42" s="11"/>
      <c r="K42" s="11">
        <v>118.56</v>
      </c>
      <c r="L42" s="11">
        <v>292.25</v>
      </c>
    </row>
    <row r="43" spans="1:17" s="5" customFormat="1" ht="15.75" x14ac:dyDescent="0.25">
      <c r="A43" s="162" t="s">
        <v>36</v>
      </c>
      <c r="B43" s="8" t="s">
        <v>37</v>
      </c>
      <c r="C43" s="9">
        <v>200</v>
      </c>
      <c r="D43" s="10">
        <f>0.8*0.2</f>
        <v>0.16000000000000003</v>
      </c>
      <c r="E43" s="10">
        <f>0.8*0.2</f>
        <v>0.16000000000000003</v>
      </c>
      <c r="F43" s="10">
        <f>139*0.2</f>
        <v>27.8</v>
      </c>
      <c r="G43" s="10">
        <f>573*0.2</f>
        <v>114.60000000000001</v>
      </c>
      <c r="H43" s="11">
        <f>0.06*0.2</f>
        <v>1.2E-2</v>
      </c>
      <c r="I43" s="11">
        <f>0.04*0.2</f>
        <v>8.0000000000000002E-3</v>
      </c>
      <c r="J43" s="11">
        <f>4.5*0.2</f>
        <v>0.9</v>
      </c>
      <c r="K43" s="11">
        <v>91</v>
      </c>
      <c r="L43" s="11">
        <f>22*0.2</f>
        <v>4.4000000000000004</v>
      </c>
    </row>
    <row r="44" spans="1:17" s="5" customFormat="1" ht="17.25" customHeight="1" x14ac:dyDescent="0.25">
      <c r="A44" s="148"/>
      <c r="B44" s="8" t="s">
        <v>38</v>
      </c>
      <c r="C44" s="9">
        <v>20</v>
      </c>
      <c r="D44" s="10">
        <v>1.32</v>
      </c>
      <c r="E44" s="10">
        <v>0.24</v>
      </c>
      <c r="F44" s="10">
        <v>7.9279999999999999</v>
      </c>
      <c r="G44" s="10">
        <v>39.6</v>
      </c>
      <c r="H44" s="11">
        <v>3.4000000000000002E-2</v>
      </c>
      <c r="I44" s="11"/>
      <c r="J44" s="11">
        <v>0</v>
      </c>
      <c r="K44" s="11">
        <v>5.8</v>
      </c>
      <c r="L44" s="11">
        <v>30</v>
      </c>
    </row>
    <row r="45" spans="1:17" s="5" customFormat="1" ht="15.75" x14ac:dyDescent="0.25">
      <c r="A45" s="146"/>
      <c r="B45" s="16" t="s">
        <v>27</v>
      </c>
      <c r="C45" s="17">
        <v>40</v>
      </c>
      <c r="D45" s="18">
        <v>3.2</v>
      </c>
      <c r="E45" s="18">
        <v>0.79</v>
      </c>
      <c r="F45" s="18">
        <v>29.68</v>
      </c>
      <c r="G45" s="18">
        <v>104</v>
      </c>
      <c r="H45" s="19">
        <v>6.2000000000000006E-2</v>
      </c>
      <c r="I45" s="19"/>
      <c r="J45" s="19">
        <v>0.8</v>
      </c>
      <c r="K45" s="19">
        <v>38.04</v>
      </c>
      <c r="L45" s="19">
        <v>26</v>
      </c>
    </row>
    <row r="46" spans="1:17" s="5" customFormat="1" ht="15.75" x14ac:dyDescent="0.25">
      <c r="A46" s="164"/>
      <c r="B46" s="29" t="s">
        <v>39</v>
      </c>
      <c r="C46" s="49">
        <f t="shared" ref="C46:L46" si="1">SUM(C39:C45)</f>
        <v>890</v>
      </c>
      <c r="D46" s="27">
        <f>SUM(D39:D45)</f>
        <v>27.23</v>
      </c>
      <c r="E46" s="27">
        <f t="shared" si="1"/>
        <v>29.399999999999995</v>
      </c>
      <c r="F46" s="27">
        <f t="shared" si="1"/>
        <v>126.38800000000001</v>
      </c>
      <c r="G46" s="27">
        <f t="shared" si="1"/>
        <v>847.06000000000006</v>
      </c>
      <c r="H46" s="28">
        <f t="shared" si="1"/>
        <v>0.44800000000000001</v>
      </c>
      <c r="I46" s="28">
        <f>SUM(I39:I45)</f>
        <v>0.56800000000000006</v>
      </c>
      <c r="J46" s="28">
        <f t="shared" si="1"/>
        <v>29.349999999999998</v>
      </c>
      <c r="K46" s="28">
        <f>SUM(K39:K45)</f>
        <v>380.29</v>
      </c>
      <c r="L46" s="28">
        <f t="shared" si="1"/>
        <v>673.21999999999991</v>
      </c>
      <c r="N46" s="5" t="s">
        <v>149</v>
      </c>
    </row>
    <row r="47" spans="1:17" s="5" customFormat="1" ht="15.75" x14ac:dyDescent="0.25">
      <c r="A47" s="152"/>
      <c r="B47" s="30" t="s">
        <v>40</v>
      </c>
      <c r="C47" s="20">
        <f t="shared" ref="C47:L47" si="2">C46+C37</f>
        <v>1567</v>
      </c>
      <c r="D47" s="21">
        <f t="shared" si="2"/>
        <v>45.6</v>
      </c>
      <c r="E47" s="21">
        <f t="shared" si="2"/>
        <v>49.91</v>
      </c>
      <c r="F47" s="21">
        <f t="shared" si="2"/>
        <v>199.428</v>
      </c>
      <c r="G47" s="21">
        <f t="shared" si="2"/>
        <v>1393.15</v>
      </c>
      <c r="H47" s="22">
        <f t="shared" si="2"/>
        <v>0.72500000000000009</v>
      </c>
      <c r="I47" s="22">
        <f>I46+I37</f>
        <v>1.3080000000000003</v>
      </c>
      <c r="J47" s="22">
        <f t="shared" si="2"/>
        <v>43.91</v>
      </c>
      <c r="K47" s="22">
        <f t="shared" si="2"/>
        <v>664.93444444444447</v>
      </c>
      <c r="L47" s="22">
        <f t="shared" si="2"/>
        <v>1074.4199999999998</v>
      </c>
      <c r="Q47" s="5" t="s">
        <v>148</v>
      </c>
    </row>
    <row r="48" spans="1:17" s="5" customFormat="1" ht="15.75" customHeight="1" x14ac:dyDescent="0.25">
      <c r="A48" s="231" t="s">
        <v>41</v>
      </c>
      <c r="B48" s="232"/>
      <c r="C48" s="232"/>
      <c r="D48" s="232"/>
      <c r="E48" s="232"/>
      <c r="F48" s="232"/>
      <c r="G48" s="233"/>
      <c r="H48" s="3"/>
      <c r="I48" s="3"/>
      <c r="J48" s="3"/>
      <c r="K48" s="3"/>
      <c r="L48" s="3"/>
    </row>
    <row r="49" spans="1:12" s="5" customFormat="1" ht="15.75" customHeight="1" x14ac:dyDescent="0.25">
      <c r="A49" s="222" t="s">
        <v>16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4"/>
    </row>
    <row r="50" spans="1:12" s="5" customFormat="1" ht="15.75" x14ac:dyDescent="0.25">
      <c r="A50" s="153" t="s">
        <v>99</v>
      </c>
      <c r="B50" s="32" t="s">
        <v>140</v>
      </c>
      <c r="C50" s="31">
        <v>200</v>
      </c>
      <c r="D50" s="19">
        <v>16.82</v>
      </c>
      <c r="E50" s="19">
        <v>17.18</v>
      </c>
      <c r="F50" s="19">
        <v>26.4</v>
      </c>
      <c r="G50" s="19">
        <v>406.66</v>
      </c>
      <c r="H50" s="19">
        <v>0.23</v>
      </c>
      <c r="I50" s="19">
        <v>0.33</v>
      </c>
      <c r="J50" s="19">
        <v>1.65</v>
      </c>
      <c r="K50" s="19">
        <v>189.93</v>
      </c>
      <c r="L50" s="19">
        <v>377.53</v>
      </c>
    </row>
    <row r="51" spans="1:12" s="5" customFormat="1" ht="15.75" x14ac:dyDescent="0.25">
      <c r="A51" s="154" t="s">
        <v>23</v>
      </c>
      <c r="B51" s="34" t="s">
        <v>24</v>
      </c>
      <c r="C51" s="33">
        <v>100</v>
      </c>
      <c r="D51" s="11">
        <v>0.4</v>
      </c>
      <c r="E51" s="11">
        <v>0.2</v>
      </c>
      <c r="F51" s="11">
        <v>9.8000000000000007</v>
      </c>
      <c r="G51" s="11">
        <v>47</v>
      </c>
      <c r="H51" s="11">
        <v>0.04</v>
      </c>
      <c r="I51" s="11">
        <v>0.05</v>
      </c>
      <c r="J51" s="11">
        <v>10</v>
      </c>
      <c r="K51" s="11">
        <v>16</v>
      </c>
      <c r="L51" s="11">
        <v>11</v>
      </c>
    </row>
    <row r="52" spans="1:12" s="5" customFormat="1" ht="15.75" x14ac:dyDescent="0.25">
      <c r="A52" s="155"/>
      <c r="B52" s="34" t="s">
        <v>44</v>
      </c>
      <c r="C52" s="33">
        <v>15</v>
      </c>
      <c r="D52" s="26">
        <f>7.5*0.15</f>
        <v>1.125</v>
      </c>
      <c r="E52" s="26">
        <f>9.8*0.15</f>
        <v>1.47</v>
      </c>
      <c r="F52" s="26">
        <f>74.4*0.15-2</f>
        <v>9.16</v>
      </c>
      <c r="G52" s="26">
        <f>417*0.15-2.5</f>
        <v>60.05</v>
      </c>
      <c r="H52" s="26"/>
      <c r="I52" s="26"/>
      <c r="J52" s="26">
        <v>0.1</v>
      </c>
      <c r="K52" s="26">
        <v>42</v>
      </c>
      <c r="L52" s="26">
        <v>33</v>
      </c>
    </row>
    <row r="53" spans="1:12" s="5" customFormat="1" ht="15.75" x14ac:dyDescent="0.25">
      <c r="A53" s="149" t="s">
        <v>25</v>
      </c>
      <c r="B53" s="16" t="s">
        <v>26</v>
      </c>
      <c r="C53" s="17">
        <v>222</v>
      </c>
      <c r="D53" s="18">
        <v>0.13</v>
      </c>
      <c r="E53" s="18">
        <v>0.02</v>
      </c>
      <c r="F53" s="18">
        <v>15.2</v>
      </c>
      <c r="G53" s="18">
        <v>62</v>
      </c>
      <c r="H53" s="19"/>
      <c r="I53" s="19"/>
      <c r="J53" s="19">
        <v>2.83</v>
      </c>
      <c r="K53" s="19">
        <v>14.2</v>
      </c>
      <c r="L53" s="19">
        <v>4.4000000000000004</v>
      </c>
    </row>
    <row r="54" spans="1:12" s="5" customFormat="1" ht="15.75" x14ac:dyDescent="0.25">
      <c r="A54" s="155"/>
      <c r="B54" s="36" t="s">
        <v>27</v>
      </c>
      <c r="C54" s="37">
        <v>40</v>
      </c>
      <c r="D54" s="19">
        <v>3.2</v>
      </c>
      <c r="E54" s="19">
        <v>0.79</v>
      </c>
      <c r="F54" s="19">
        <v>29.68</v>
      </c>
      <c r="G54" s="19">
        <v>104</v>
      </c>
      <c r="H54" s="19">
        <v>6.2000000000000006E-2</v>
      </c>
      <c r="I54" s="19"/>
      <c r="J54" s="19">
        <v>0.8</v>
      </c>
      <c r="K54" s="19">
        <v>18.044444444444444</v>
      </c>
      <c r="L54" s="19">
        <v>26</v>
      </c>
    </row>
    <row r="55" spans="1:12" s="5" customFormat="1" ht="15.75" x14ac:dyDescent="0.25">
      <c r="A55" s="165"/>
      <c r="B55" s="45" t="s">
        <v>28</v>
      </c>
      <c r="C55" s="41">
        <f t="shared" ref="C55:L55" si="3">SUM(C50:C54)</f>
        <v>577</v>
      </c>
      <c r="D55" s="28">
        <f t="shared" si="3"/>
        <v>21.674999999999997</v>
      </c>
      <c r="E55" s="28">
        <f t="shared" si="3"/>
        <v>19.659999999999997</v>
      </c>
      <c r="F55" s="28">
        <f t="shared" si="3"/>
        <v>90.240000000000009</v>
      </c>
      <c r="G55" s="28">
        <f t="shared" si="3"/>
        <v>679.71</v>
      </c>
      <c r="H55" s="28">
        <f t="shared" si="3"/>
        <v>0.33200000000000002</v>
      </c>
      <c r="I55" s="28">
        <f t="shared" si="3"/>
        <v>0.38</v>
      </c>
      <c r="J55" s="28">
        <f t="shared" si="3"/>
        <v>15.38</v>
      </c>
      <c r="K55" s="28">
        <f t="shared" si="3"/>
        <v>280.17444444444442</v>
      </c>
      <c r="L55" s="28">
        <f t="shared" si="3"/>
        <v>451.92999999999995</v>
      </c>
    </row>
    <row r="56" spans="1:12" s="5" customFormat="1" ht="15.75" x14ac:dyDescent="0.25">
      <c r="A56" s="225" t="s">
        <v>29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7"/>
    </row>
    <row r="57" spans="1:12" s="5" customFormat="1" ht="15.75" x14ac:dyDescent="0.25">
      <c r="A57" s="35"/>
      <c r="B57" s="34" t="s">
        <v>30</v>
      </c>
      <c r="C57" s="33">
        <v>100</v>
      </c>
      <c r="D57" s="11">
        <v>1.1000000000000001</v>
      </c>
      <c r="E57" s="11">
        <v>0.2</v>
      </c>
      <c r="F57" s="11">
        <v>3.8</v>
      </c>
      <c r="G57" s="11">
        <v>24</v>
      </c>
      <c r="H57" s="11">
        <v>0.06</v>
      </c>
      <c r="I57" s="11">
        <v>0.17</v>
      </c>
      <c r="J57" s="11">
        <v>18</v>
      </c>
      <c r="K57" s="11">
        <v>20.3</v>
      </c>
      <c r="L57" s="11">
        <v>26</v>
      </c>
    </row>
    <row r="58" spans="1:12" s="122" customFormat="1" ht="15.75" x14ac:dyDescent="0.25">
      <c r="A58" s="156" t="s">
        <v>47</v>
      </c>
      <c r="B58" s="120" t="s">
        <v>48</v>
      </c>
      <c r="C58" s="121">
        <v>285</v>
      </c>
      <c r="D58" s="44">
        <f>8.78*0.21</f>
        <v>1.8437999999999999</v>
      </c>
      <c r="E58" s="44">
        <f>11.12*0.25+4</f>
        <v>6.7799999999999994</v>
      </c>
      <c r="F58" s="44">
        <f>61.65*0.235</f>
        <v>14.487749999999998</v>
      </c>
      <c r="G58" s="44">
        <f>424*0.25</f>
        <v>106</v>
      </c>
      <c r="H58" s="44">
        <f>0.48*0.235</f>
        <v>0.11279999999999998</v>
      </c>
      <c r="I58" s="44">
        <f>0.29*0.3</f>
        <v>8.6999999999999994E-2</v>
      </c>
      <c r="J58" s="44">
        <f>44.3*0.1</f>
        <v>4.43</v>
      </c>
      <c r="K58" s="44">
        <f>118.8*0.235+40</f>
        <v>67.918000000000006</v>
      </c>
      <c r="L58" s="44">
        <f>289*0.4</f>
        <v>115.60000000000001</v>
      </c>
    </row>
    <row r="59" spans="1:12" s="122" customFormat="1" ht="15.75" x14ac:dyDescent="0.25">
      <c r="A59" s="156" t="s">
        <v>49</v>
      </c>
      <c r="B59" s="120" t="s">
        <v>50</v>
      </c>
      <c r="C59" s="121">
        <v>100</v>
      </c>
      <c r="D59" s="44">
        <f>9.75+3</f>
        <v>12.75</v>
      </c>
      <c r="E59" s="44">
        <f>4.952+2+5</f>
        <v>11.952</v>
      </c>
      <c r="F59" s="44">
        <v>3.8</v>
      </c>
      <c r="G59" s="44">
        <f>105+50</f>
        <v>155</v>
      </c>
      <c r="H59" s="44">
        <v>0.05</v>
      </c>
      <c r="I59" s="44">
        <f>0.05+0.01</f>
        <v>6.0000000000000005E-2</v>
      </c>
      <c r="J59" s="44">
        <f>3.73-3</f>
        <v>0.73</v>
      </c>
      <c r="K59" s="44">
        <f>39.07+40</f>
        <v>79.069999999999993</v>
      </c>
      <c r="L59" s="44">
        <f>162.19+100</f>
        <v>262.19</v>
      </c>
    </row>
    <row r="60" spans="1:12" s="5" customFormat="1" ht="15.75" x14ac:dyDescent="0.25">
      <c r="A60" s="157" t="s">
        <v>51</v>
      </c>
      <c r="B60" s="38" t="s">
        <v>52</v>
      </c>
      <c r="C60" s="39">
        <v>180</v>
      </c>
      <c r="D60" s="26">
        <f>2.17*1.5</f>
        <v>3.2549999999999999</v>
      </c>
      <c r="E60" s="26">
        <f>6.41*1.5-4</f>
        <v>5.6150000000000002</v>
      </c>
      <c r="F60" s="26">
        <f>12.59*1.5</f>
        <v>18.884999999999998</v>
      </c>
      <c r="G60" s="26">
        <f>121*1.5+50</f>
        <v>231.5</v>
      </c>
      <c r="H60" s="26">
        <v>0.1</v>
      </c>
      <c r="I60" s="26">
        <f>0.08*2+0.04</f>
        <v>0.2</v>
      </c>
      <c r="J60" s="26">
        <f>12.46-9.5</f>
        <v>2.9600000000000009</v>
      </c>
      <c r="K60" s="26">
        <f>29.16+40</f>
        <v>69.16</v>
      </c>
      <c r="L60" s="26">
        <f>60.92+20</f>
        <v>80.92</v>
      </c>
    </row>
    <row r="61" spans="1:12" s="50" customFormat="1" ht="15.75" x14ac:dyDescent="0.2">
      <c r="A61" s="162" t="s">
        <v>36</v>
      </c>
      <c r="B61" s="34" t="s">
        <v>37</v>
      </c>
      <c r="C61" s="33">
        <v>200</v>
      </c>
      <c r="D61" s="11">
        <f>0.8*0.2</f>
        <v>0.16000000000000003</v>
      </c>
      <c r="E61" s="11">
        <f>0.8*0.2</f>
        <v>0.16000000000000003</v>
      </c>
      <c r="F61" s="11">
        <f>139*0.2</f>
        <v>27.8</v>
      </c>
      <c r="G61" s="11">
        <f>573*0.2</f>
        <v>114.60000000000001</v>
      </c>
      <c r="H61" s="11">
        <f>0.06*0.2</f>
        <v>1.2E-2</v>
      </c>
      <c r="I61" s="11">
        <f>0.04*0.2</f>
        <v>8.0000000000000002E-3</v>
      </c>
      <c r="J61" s="11">
        <f>4.5*0.2</f>
        <v>0.9</v>
      </c>
      <c r="K61" s="11">
        <v>91</v>
      </c>
      <c r="L61" s="11">
        <f>22*0.2</f>
        <v>4.4000000000000004</v>
      </c>
    </row>
    <row r="62" spans="1:12" s="5" customFormat="1" ht="15.75" x14ac:dyDescent="0.25">
      <c r="A62" s="155"/>
      <c r="B62" s="36" t="s">
        <v>27</v>
      </c>
      <c r="C62" s="37">
        <v>40</v>
      </c>
      <c r="D62" s="19">
        <v>3.2</v>
      </c>
      <c r="E62" s="19">
        <v>0.79</v>
      </c>
      <c r="F62" s="19">
        <v>29.68</v>
      </c>
      <c r="G62" s="19">
        <v>104</v>
      </c>
      <c r="H62" s="19">
        <v>6.2000000000000006E-2</v>
      </c>
      <c r="I62" s="19"/>
      <c r="J62" s="19">
        <v>0.8</v>
      </c>
      <c r="K62" s="19">
        <v>18.044444444444444</v>
      </c>
      <c r="L62" s="19">
        <v>26</v>
      </c>
    </row>
    <row r="63" spans="1:12" s="5" customFormat="1" ht="17.25" customHeight="1" x14ac:dyDescent="0.25">
      <c r="A63" s="154"/>
      <c r="B63" s="34" t="s">
        <v>38</v>
      </c>
      <c r="C63" s="33">
        <v>20</v>
      </c>
      <c r="D63" s="11">
        <v>1.32</v>
      </c>
      <c r="E63" s="11">
        <v>0.24</v>
      </c>
      <c r="F63" s="11">
        <v>7.9279999999999999</v>
      </c>
      <c r="G63" s="11">
        <v>39.6</v>
      </c>
      <c r="H63" s="11">
        <v>3.4000000000000002E-2</v>
      </c>
      <c r="I63" s="11"/>
      <c r="J63" s="11">
        <v>0</v>
      </c>
      <c r="K63" s="11">
        <v>5.8</v>
      </c>
      <c r="L63" s="11">
        <v>30</v>
      </c>
    </row>
    <row r="64" spans="1:12" s="5" customFormat="1" ht="15.75" x14ac:dyDescent="0.25">
      <c r="A64" s="165"/>
      <c r="B64" s="45" t="s">
        <v>39</v>
      </c>
      <c r="C64" s="41">
        <f t="shared" ref="C64:L64" si="4">SUM(C57:C63)</f>
        <v>925</v>
      </c>
      <c r="D64" s="28">
        <f t="shared" si="4"/>
        <v>23.628799999999998</v>
      </c>
      <c r="E64" s="28">
        <f t="shared" si="4"/>
        <v>25.736999999999995</v>
      </c>
      <c r="F64" s="28">
        <f t="shared" si="4"/>
        <v>106.38075000000001</v>
      </c>
      <c r="G64" s="28">
        <f t="shared" si="4"/>
        <v>774.7</v>
      </c>
      <c r="H64" s="28">
        <f t="shared" si="4"/>
        <v>0.43079999999999996</v>
      </c>
      <c r="I64" s="28">
        <f>SUM(I57:I63)</f>
        <v>0.52500000000000002</v>
      </c>
      <c r="J64" s="28">
        <f t="shared" si="4"/>
        <v>27.82</v>
      </c>
      <c r="K64" s="28">
        <f t="shared" si="4"/>
        <v>351.29244444444441</v>
      </c>
      <c r="L64" s="28">
        <f t="shared" si="4"/>
        <v>545.11</v>
      </c>
    </row>
    <row r="65" spans="1:12" s="5" customFormat="1" ht="15.75" x14ac:dyDescent="0.25">
      <c r="A65" s="6"/>
      <c r="B65" s="40" t="s">
        <v>53</v>
      </c>
      <c r="C65" s="41">
        <f t="shared" ref="C65:L65" si="5">C64+C55</f>
        <v>1502</v>
      </c>
      <c r="D65" s="22">
        <f t="shared" si="5"/>
        <v>45.303799999999995</v>
      </c>
      <c r="E65" s="22">
        <f t="shared" si="5"/>
        <v>45.396999999999991</v>
      </c>
      <c r="F65" s="22">
        <f t="shared" si="5"/>
        <v>196.62075000000002</v>
      </c>
      <c r="G65" s="22">
        <f t="shared" si="5"/>
        <v>1454.41</v>
      </c>
      <c r="H65" s="22">
        <f t="shared" si="5"/>
        <v>0.76279999999999992</v>
      </c>
      <c r="I65" s="22">
        <f t="shared" si="5"/>
        <v>0.90500000000000003</v>
      </c>
      <c r="J65" s="22">
        <f t="shared" si="5"/>
        <v>43.2</v>
      </c>
      <c r="K65" s="22">
        <f t="shared" si="5"/>
        <v>631.46688888888889</v>
      </c>
      <c r="L65" s="22">
        <f t="shared" si="5"/>
        <v>997.04</v>
      </c>
    </row>
    <row r="66" spans="1:12" s="5" customFormat="1" ht="15.75" customHeight="1" x14ac:dyDescent="0.25">
      <c r="A66" s="228" t="s">
        <v>54</v>
      </c>
      <c r="B66" s="229"/>
      <c r="C66" s="229"/>
      <c r="D66" s="229"/>
      <c r="E66" s="229"/>
      <c r="F66" s="229"/>
      <c r="G66" s="230"/>
      <c r="H66" s="3"/>
      <c r="I66" s="3"/>
      <c r="J66" s="3"/>
      <c r="K66" s="3"/>
      <c r="L66" s="3"/>
    </row>
    <row r="67" spans="1:12" s="5" customFormat="1" ht="15.75" customHeight="1" x14ac:dyDescent="0.25">
      <c r="A67" s="225" t="s">
        <v>16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7"/>
    </row>
    <row r="68" spans="1:12" s="50" customFormat="1" ht="15.75" x14ac:dyDescent="0.2">
      <c r="A68" s="166"/>
      <c r="B68" s="167" t="s">
        <v>30</v>
      </c>
      <c r="C68" s="42">
        <v>100</v>
      </c>
      <c r="D68" s="11">
        <v>1.1000000000000001</v>
      </c>
      <c r="E68" s="11">
        <v>0.2</v>
      </c>
      <c r="F68" s="11">
        <v>3.8</v>
      </c>
      <c r="G68" s="11">
        <v>24</v>
      </c>
      <c r="H68" s="11">
        <v>0.06</v>
      </c>
      <c r="I68" s="11">
        <v>0.17</v>
      </c>
      <c r="J68" s="11">
        <v>18</v>
      </c>
      <c r="K68" s="11">
        <v>20.3</v>
      </c>
      <c r="L68" s="11">
        <v>26</v>
      </c>
    </row>
    <row r="69" spans="1:12" s="50" customFormat="1" ht="31.5" x14ac:dyDescent="0.2">
      <c r="A69" s="166" t="s">
        <v>32</v>
      </c>
      <c r="B69" s="163" t="s">
        <v>55</v>
      </c>
      <c r="C69" s="42">
        <v>100</v>
      </c>
      <c r="D69" s="26">
        <v>8.32</v>
      </c>
      <c r="E69" s="26">
        <v>12.76</v>
      </c>
      <c r="F69" s="26">
        <v>5.82</v>
      </c>
      <c r="G69" s="26">
        <v>152.4</v>
      </c>
      <c r="H69" s="26">
        <v>0.03</v>
      </c>
      <c r="I69" s="26">
        <v>0.11</v>
      </c>
      <c r="J69" s="26">
        <v>0.01</v>
      </c>
      <c r="K69" s="26">
        <v>22.67</v>
      </c>
      <c r="L69" s="26">
        <v>122.43</v>
      </c>
    </row>
    <row r="70" spans="1:12" s="50" customFormat="1" ht="15.75" x14ac:dyDescent="0.2">
      <c r="A70" s="166" t="s">
        <v>34</v>
      </c>
      <c r="B70" s="167" t="s">
        <v>56</v>
      </c>
      <c r="C70" s="42">
        <v>180</v>
      </c>
      <c r="D70" s="43">
        <v>7.58</v>
      </c>
      <c r="E70" s="43">
        <v>5.4</v>
      </c>
      <c r="F70" s="43">
        <v>25.08</v>
      </c>
      <c r="G70" s="43">
        <v>265.5</v>
      </c>
      <c r="H70" s="43">
        <v>0.14000000000000001</v>
      </c>
      <c r="I70" s="43">
        <v>0.09</v>
      </c>
      <c r="J70" s="43"/>
      <c r="K70" s="43">
        <v>192</v>
      </c>
      <c r="L70" s="43">
        <v>254.96</v>
      </c>
    </row>
    <row r="71" spans="1:12" s="50" customFormat="1" ht="15.75" x14ac:dyDescent="0.2">
      <c r="A71" s="168"/>
      <c r="B71" s="34" t="s">
        <v>57</v>
      </c>
      <c r="C71" s="33">
        <v>15</v>
      </c>
      <c r="D71" s="11">
        <f>0.1*0.15</f>
        <v>1.4999999999999999E-2</v>
      </c>
      <c r="E71" s="11"/>
      <c r="F71" s="11">
        <f>79.4*0.1</f>
        <v>7.9400000000000013</v>
      </c>
      <c r="G71" s="11">
        <f>321*0.15</f>
        <v>48.15</v>
      </c>
      <c r="H71" s="11"/>
      <c r="I71" s="11">
        <v>0.01</v>
      </c>
      <c r="J71" s="11">
        <v>0.01</v>
      </c>
      <c r="K71" s="11">
        <f>4</f>
        <v>4</v>
      </c>
      <c r="L71" s="11">
        <f>1</f>
        <v>1</v>
      </c>
    </row>
    <row r="72" spans="1:12" s="50" customFormat="1" ht="15.75" x14ac:dyDescent="0.2">
      <c r="A72" s="155"/>
      <c r="B72" s="36" t="s">
        <v>27</v>
      </c>
      <c r="C72" s="37">
        <v>40</v>
      </c>
      <c r="D72" s="19">
        <v>3.2</v>
      </c>
      <c r="E72" s="19">
        <v>0.79</v>
      </c>
      <c r="F72" s="19">
        <v>29.68</v>
      </c>
      <c r="G72" s="19">
        <v>104</v>
      </c>
      <c r="H72" s="19">
        <v>6.2000000000000006E-2</v>
      </c>
      <c r="I72" s="19"/>
      <c r="J72" s="19">
        <v>0.8</v>
      </c>
      <c r="K72" s="19">
        <v>18.044444444444444</v>
      </c>
      <c r="L72" s="19">
        <v>26</v>
      </c>
    </row>
    <row r="73" spans="1:12" s="50" customFormat="1" ht="15.75" x14ac:dyDescent="0.2">
      <c r="A73" s="158" t="s">
        <v>25</v>
      </c>
      <c r="B73" s="36" t="s">
        <v>26</v>
      </c>
      <c r="C73" s="37">
        <v>222</v>
      </c>
      <c r="D73" s="19">
        <v>0.13</v>
      </c>
      <c r="E73" s="19">
        <v>0.02</v>
      </c>
      <c r="F73" s="19">
        <v>15.2</v>
      </c>
      <c r="G73" s="19">
        <v>62</v>
      </c>
      <c r="H73" s="19"/>
      <c r="I73" s="19"/>
      <c r="J73" s="19">
        <v>2.83</v>
      </c>
      <c r="K73" s="19">
        <v>14.2</v>
      </c>
      <c r="L73" s="19">
        <v>4.4000000000000004</v>
      </c>
    </row>
    <row r="74" spans="1:12" s="5" customFormat="1" ht="15.75" x14ac:dyDescent="0.25">
      <c r="A74" s="165"/>
      <c r="B74" s="45" t="s">
        <v>28</v>
      </c>
      <c r="C74" s="41">
        <f t="shared" ref="C74:L74" si="6">SUM(C68:C73)</f>
        <v>657</v>
      </c>
      <c r="D74" s="28">
        <f t="shared" si="6"/>
        <v>20.344999999999999</v>
      </c>
      <c r="E74" s="28">
        <f t="shared" si="6"/>
        <v>19.169999999999998</v>
      </c>
      <c r="F74" s="28">
        <f t="shared" si="6"/>
        <v>87.52</v>
      </c>
      <c r="G74" s="28">
        <f t="shared" si="6"/>
        <v>656.05</v>
      </c>
      <c r="H74" s="28">
        <f t="shared" si="6"/>
        <v>0.29200000000000004</v>
      </c>
      <c r="I74" s="28">
        <f>SUM(I68:I73)</f>
        <v>0.38</v>
      </c>
      <c r="J74" s="28">
        <f t="shared" si="6"/>
        <v>21.650000000000006</v>
      </c>
      <c r="K74" s="28">
        <f t="shared" si="6"/>
        <v>271.21444444444444</v>
      </c>
      <c r="L74" s="28">
        <f t="shared" si="6"/>
        <v>434.78999999999996</v>
      </c>
    </row>
    <row r="75" spans="1:12" s="5" customFormat="1" ht="15.75" x14ac:dyDescent="0.25">
      <c r="A75" s="225" t="s">
        <v>29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7"/>
    </row>
    <row r="76" spans="1:12" s="50" customFormat="1" ht="15.75" x14ac:dyDescent="0.2">
      <c r="A76" s="166"/>
      <c r="B76" s="167" t="s">
        <v>30</v>
      </c>
      <c r="C76" s="42">
        <v>100</v>
      </c>
      <c r="D76" s="11">
        <v>1.1000000000000001</v>
      </c>
      <c r="E76" s="11">
        <v>0.2</v>
      </c>
      <c r="F76" s="11">
        <v>3.8</v>
      </c>
      <c r="G76" s="11">
        <v>24</v>
      </c>
      <c r="H76" s="11">
        <v>0.06</v>
      </c>
      <c r="I76" s="11">
        <v>0.17</v>
      </c>
      <c r="J76" s="11">
        <v>18</v>
      </c>
      <c r="K76" s="11">
        <v>20.3</v>
      </c>
      <c r="L76" s="11">
        <v>26</v>
      </c>
    </row>
    <row r="77" spans="1:12" s="50" customFormat="1" ht="15.75" x14ac:dyDescent="0.2">
      <c r="A77" s="166" t="s">
        <v>58</v>
      </c>
      <c r="B77" s="167" t="s">
        <v>59</v>
      </c>
      <c r="C77" s="42">
        <v>250</v>
      </c>
      <c r="D77" s="44">
        <v>2.0099999999999998</v>
      </c>
      <c r="E77" s="44">
        <v>10.18</v>
      </c>
      <c r="F77" s="44">
        <v>11.98</v>
      </c>
      <c r="G77" s="44">
        <v>214.5</v>
      </c>
      <c r="H77" s="44">
        <v>0.08</v>
      </c>
      <c r="I77" s="44">
        <v>0.11</v>
      </c>
      <c r="J77" s="44">
        <v>4.1900000000000004</v>
      </c>
      <c r="K77" s="44">
        <v>145.75</v>
      </c>
      <c r="L77" s="44">
        <v>283.63</v>
      </c>
    </row>
    <row r="78" spans="1:12" s="50" customFormat="1" ht="15.75" x14ac:dyDescent="0.2">
      <c r="A78" s="166" t="s">
        <v>60</v>
      </c>
      <c r="B78" s="167" t="s">
        <v>61</v>
      </c>
      <c r="C78" s="42">
        <v>200</v>
      </c>
      <c r="D78" s="44">
        <v>24.68</v>
      </c>
      <c r="E78" s="44">
        <v>22.28</v>
      </c>
      <c r="F78" s="44">
        <v>36.450000000000003</v>
      </c>
      <c r="G78" s="44">
        <v>365.33</v>
      </c>
      <c r="H78" s="44">
        <v>0.18</v>
      </c>
      <c r="I78" s="44">
        <v>0.25</v>
      </c>
      <c r="J78" s="44">
        <v>3.8</v>
      </c>
      <c r="K78" s="44">
        <v>89.42</v>
      </c>
      <c r="L78" s="44">
        <v>242.67</v>
      </c>
    </row>
    <row r="79" spans="1:12" s="50" customFormat="1" ht="15.75" x14ac:dyDescent="0.2">
      <c r="A79" s="162" t="s">
        <v>36</v>
      </c>
      <c r="B79" s="34" t="s">
        <v>37</v>
      </c>
      <c r="C79" s="33">
        <v>200</v>
      </c>
      <c r="D79" s="11">
        <f>0.8*0.2</f>
        <v>0.16000000000000003</v>
      </c>
      <c r="E79" s="11">
        <f>0.8*0.2</f>
        <v>0.16000000000000003</v>
      </c>
      <c r="F79" s="11">
        <f>139*0.2</f>
        <v>27.8</v>
      </c>
      <c r="G79" s="11">
        <f>573*0.2</f>
        <v>114.60000000000001</v>
      </c>
      <c r="H79" s="11">
        <f>0.06*0.2</f>
        <v>1.2E-2</v>
      </c>
      <c r="I79" s="11">
        <f>0.04*0.2</f>
        <v>8.0000000000000002E-3</v>
      </c>
      <c r="J79" s="11">
        <f>4.5*0.2</f>
        <v>0.9</v>
      </c>
      <c r="K79" s="11">
        <v>91</v>
      </c>
      <c r="L79" s="11">
        <f>22*0.2</f>
        <v>4.4000000000000004</v>
      </c>
    </row>
    <row r="80" spans="1:12" s="50" customFormat="1" ht="15.75" x14ac:dyDescent="0.2">
      <c r="A80" s="154" t="s">
        <v>23</v>
      </c>
      <c r="B80" s="34" t="s">
        <v>24</v>
      </c>
      <c r="C80" s="33">
        <v>100</v>
      </c>
      <c r="D80" s="11">
        <v>0.4</v>
      </c>
      <c r="E80" s="11">
        <v>0.2</v>
      </c>
      <c r="F80" s="11">
        <v>9.8000000000000007</v>
      </c>
      <c r="G80" s="11">
        <v>47</v>
      </c>
      <c r="H80" s="11">
        <v>0.04</v>
      </c>
      <c r="I80" s="11">
        <v>0.05</v>
      </c>
      <c r="J80" s="11">
        <f>10-3</f>
        <v>7</v>
      </c>
      <c r="K80" s="11">
        <f>16+10</f>
        <v>26</v>
      </c>
      <c r="L80" s="11">
        <v>11</v>
      </c>
    </row>
    <row r="81" spans="1:12" s="50" customFormat="1" ht="15.75" x14ac:dyDescent="0.2">
      <c r="A81" s="155"/>
      <c r="B81" s="36" t="s">
        <v>27</v>
      </c>
      <c r="C81" s="37">
        <v>40</v>
      </c>
      <c r="D81" s="19">
        <v>3.2</v>
      </c>
      <c r="E81" s="19">
        <v>0.79</v>
      </c>
      <c r="F81" s="19">
        <v>29.68</v>
      </c>
      <c r="G81" s="19">
        <v>104</v>
      </c>
      <c r="H81" s="19">
        <v>6.2000000000000006E-2</v>
      </c>
      <c r="I81" s="19"/>
      <c r="J81" s="19">
        <v>0.8</v>
      </c>
      <c r="K81" s="19">
        <v>18.044444444444444</v>
      </c>
      <c r="L81" s="19">
        <v>26</v>
      </c>
    </row>
    <row r="82" spans="1:12" s="50" customFormat="1" ht="16.5" customHeight="1" x14ac:dyDescent="0.2">
      <c r="A82" s="154"/>
      <c r="B82" s="34" t="s">
        <v>38</v>
      </c>
      <c r="C82" s="33">
        <v>20</v>
      </c>
      <c r="D82" s="11">
        <v>1.32</v>
      </c>
      <c r="E82" s="11">
        <v>0.24</v>
      </c>
      <c r="F82" s="11">
        <v>7.9279999999999999</v>
      </c>
      <c r="G82" s="11">
        <v>39.6</v>
      </c>
      <c r="H82" s="11">
        <v>3.4000000000000002E-2</v>
      </c>
      <c r="I82" s="11"/>
      <c r="J82" s="11">
        <v>0</v>
      </c>
      <c r="K82" s="11">
        <v>5.8</v>
      </c>
      <c r="L82" s="11">
        <v>30</v>
      </c>
    </row>
    <row r="83" spans="1:12" s="50" customFormat="1" ht="15.75" x14ac:dyDescent="0.2">
      <c r="A83" s="165"/>
      <c r="B83" s="45" t="s">
        <v>39</v>
      </c>
      <c r="C83" s="41">
        <f>SUM(C76:C82)</f>
        <v>910</v>
      </c>
      <c r="D83" s="28">
        <f t="shared" ref="D83:L83" si="7">SUM(D76:D82)</f>
        <v>32.869999999999997</v>
      </c>
      <c r="E83" s="28">
        <f t="shared" si="7"/>
        <v>34.049999999999997</v>
      </c>
      <c r="F83" s="28">
        <f t="shared" si="7"/>
        <v>127.43799999999999</v>
      </c>
      <c r="G83" s="28">
        <f t="shared" si="7"/>
        <v>909.03</v>
      </c>
      <c r="H83" s="28">
        <f t="shared" si="7"/>
        <v>0.46799999999999997</v>
      </c>
      <c r="I83" s="28">
        <f>SUM(I76:I82)</f>
        <v>0.58800000000000008</v>
      </c>
      <c r="J83" s="28">
        <f>SUM(J76:J82)</f>
        <v>34.69</v>
      </c>
      <c r="K83" s="28">
        <f t="shared" si="7"/>
        <v>396.31444444444446</v>
      </c>
      <c r="L83" s="28">
        <f t="shared" si="7"/>
        <v>623.69999999999993</v>
      </c>
    </row>
    <row r="84" spans="1:12" s="50" customFormat="1" ht="15.75" x14ac:dyDescent="0.2">
      <c r="A84" s="45"/>
      <c r="B84" s="40" t="s">
        <v>62</v>
      </c>
      <c r="C84" s="41">
        <f t="shared" ref="C84:L84" si="8">C83+C74</f>
        <v>1567</v>
      </c>
      <c r="D84" s="22">
        <f t="shared" si="8"/>
        <v>53.214999999999996</v>
      </c>
      <c r="E84" s="22">
        <f t="shared" si="8"/>
        <v>53.22</v>
      </c>
      <c r="F84" s="22">
        <f t="shared" si="8"/>
        <v>214.95799999999997</v>
      </c>
      <c r="G84" s="22">
        <f t="shared" si="8"/>
        <v>1565.08</v>
      </c>
      <c r="H84" s="22">
        <f t="shared" si="8"/>
        <v>0.76</v>
      </c>
      <c r="I84" s="22">
        <f t="shared" si="8"/>
        <v>0.96800000000000008</v>
      </c>
      <c r="J84" s="22">
        <f t="shared" si="8"/>
        <v>56.34</v>
      </c>
      <c r="K84" s="22">
        <f t="shared" si="8"/>
        <v>667.5288888888889</v>
      </c>
      <c r="L84" s="22">
        <f t="shared" si="8"/>
        <v>1058.4899999999998</v>
      </c>
    </row>
    <row r="85" spans="1:12" s="50" customFormat="1" ht="14.1" customHeight="1" x14ac:dyDescent="0.2">
      <c r="A85" s="228" t="s">
        <v>63</v>
      </c>
      <c r="B85" s="229"/>
      <c r="C85" s="229"/>
      <c r="D85" s="229"/>
      <c r="E85" s="229"/>
      <c r="F85" s="229"/>
      <c r="G85" s="230"/>
      <c r="H85" s="169"/>
      <c r="I85" s="169"/>
      <c r="J85" s="169"/>
      <c r="K85" s="169"/>
      <c r="L85" s="169"/>
    </row>
    <row r="86" spans="1:12" s="50" customFormat="1" ht="15.75" customHeight="1" x14ac:dyDescent="0.2">
      <c r="A86" s="225" t="s">
        <v>16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7"/>
    </row>
    <row r="87" spans="1:12" s="50" customFormat="1" ht="31.5" x14ac:dyDescent="0.2">
      <c r="A87" s="166" t="s">
        <v>64</v>
      </c>
      <c r="B87" s="163" t="s">
        <v>65</v>
      </c>
      <c r="C87" s="42">
        <v>200</v>
      </c>
      <c r="D87" s="26">
        <f>5.95/80*150</f>
        <v>11.15625</v>
      </c>
      <c r="E87" s="26">
        <f>5.25/80*200</f>
        <v>13.125</v>
      </c>
      <c r="F87" s="26">
        <f>32.01/80*80-5</f>
        <v>27.009999999999998</v>
      </c>
      <c r="G87" s="26">
        <f>199/80*120</f>
        <v>298.5</v>
      </c>
      <c r="H87" s="26">
        <f>0.036/80*200+0.06</f>
        <v>0.15</v>
      </c>
      <c r="I87" s="26">
        <v>0.18</v>
      </c>
      <c r="J87" s="26">
        <f>8.52-2</f>
        <v>6.52</v>
      </c>
      <c r="K87" s="26">
        <f>63.12/80*150</f>
        <v>118.35</v>
      </c>
      <c r="L87" s="26">
        <f>82.63/80*200+20</f>
        <v>226.57499999999999</v>
      </c>
    </row>
    <row r="88" spans="1:12" s="50" customFormat="1" ht="15.75" x14ac:dyDescent="0.2">
      <c r="A88" s="170" t="s">
        <v>19</v>
      </c>
      <c r="B88" s="46" t="s">
        <v>20</v>
      </c>
      <c r="C88" s="47">
        <v>15</v>
      </c>
      <c r="D88" s="15">
        <v>4</v>
      </c>
      <c r="E88" s="15">
        <v>3.9</v>
      </c>
      <c r="F88" s="15">
        <v>0</v>
      </c>
      <c r="G88" s="15">
        <v>54</v>
      </c>
      <c r="H88" s="15">
        <v>5.0000000000000001E-3</v>
      </c>
      <c r="I88" s="15">
        <v>0.09</v>
      </c>
      <c r="J88" s="15">
        <v>0.1</v>
      </c>
      <c r="K88" s="15">
        <f>132-50</f>
        <v>82</v>
      </c>
      <c r="L88" s="15">
        <v>75</v>
      </c>
    </row>
    <row r="89" spans="1:12" s="50" customFormat="1" ht="15.75" x14ac:dyDescent="0.2">
      <c r="A89" s="159" t="s">
        <v>45</v>
      </c>
      <c r="B89" s="36" t="s">
        <v>46</v>
      </c>
      <c r="C89" s="37">
        <v>215</v>
      </c>
      <c r="D89" s="48">
        <v>7.0000000000000007E-2</v>
      </c>
      <c r="E89" s="48">
        <v>0.02</v>
      </c>
      <c r="F89" s="48">
        <v>15</v>
      </c>
      <c r="G89" s="48">
        <v>60</v>
      </c>
      <c r="H89" s="48"/>
      <c r="I89" s="48"/>
      <c r="J89" s="48">
        <v>0.03</v>
      </c>
      <c r="K89" s="48">
        <v>11.1</v>
      </c>
      <c r="L89" s="48">
        <v>2.8</v>
      </c>
    </row>
    <row r="90" spans="1:12" s="50" customFormat="1" ht="15.75" x14ac:dyDescent="0.2">
      <c r="A90" s="154" t="s">
        <v>23</v>
      </c>
      <c r="B90" s="34" t="s">
        <v>24</v>
      </c>
      <c r="C90" s="33">
        <v>100</v>
      </c>
      <c r="D90" s="11">
        <v>0.4</v>
      </c>
      <c r="E90" s="11">
        <v>0.2</v>
      </c>
      <c r="F90" s="11">
        <v>9.8000000000000007</v>
      </c>
      <c r="G90" s="11">
        <v>47</v>
      </c>
      <c r="H90" s="11">
        <v>0.04</v>
      </c>
      <c r="I90" s="11">
        <v>0.05</v>
      </c>
      <c r="J90" s="11">
        <f>10-3</f>
        <v>7</v>
      </c>
      <c r="K90" s="11">
        <f>16+10</f>
        <v>26</v>
      </c>
      <c r="L90" s="11">
        <v>11</v>
      </c>
    </row>
    <row r="91" spans="1:12" s="50" customFormat="1" ht="15.75" x14ac:dyDescent="0.2">
      <c r="A91" s="155"/>
      <c r="B91" s="36" t="s">
        <v>27</v>
      </c>
      <c r="C91" s="37">
        <v>40</v>
      </c>
      <c r="D91" s="19">
        <v>3.2</v>
      </c>
      <c r="E91" s="19">
        <v>0.79</v>
      </c>
      <c r="F91" s="19">
        <v>29.68</v>
      </c>
      <c r="G91" s="19">
        <v>104</v>
      </c>
      <c r="H91" s="19">
        <v>6.2000000000000006E-2</v>
      </c>
      <c r="I91" s="19"/>
      <c r="J91" s="19">
        <v>0.8</v>
      </c>
      <c r="K91" s="19">
        <v>18.044444444444444</v>
      </c>
      <c r="L91" s="19">
        <v>26</v>
      </c>
    </row>
    <row r="92" spans="1:12" s="50" customFormat="1" ht="15.75" x14ac:dyDescent="0.2">
      <c r="A92" s="165"/>
      <c r="B92" s="45" t="s">
        <v>28</v>
      </c>
      <c r="C92" s="41">
        <f t="shared" ref="C92:L92" si="9">SUM(C87:C91)</f>
        <v>570</v>
      </c>
      <c r="D92" s="28">
        <f t="shared" si="9"/>
        <v>18.826250000000002</v>
      </c>
      <c r="E92" s="28">
        <f t="shared" si="9"/>
        <v>18.034999999999997</v>
      </c>
      <c r="F92" s="28">
        <f t="shared" si="9"/>
        <v>81.490000000000009</v>
      </c>
      <c r="G92" s="28">
        <f t="shared" si="9"/>
        <v>563.5</v>
      </c>
      <c r="H92" s="28">
        <f>SUM(H87:H91)</f>
        <v>0.25700000000000001</v>
      </c>
      <c r="I92" s="28">
        <f>SUM(I87:I91)</f>
        <v>0.32</v>
      </c>
      <c r="J92" s="28">
        <f t="shared" si="9"/>
        <v>14.45</v>
      </c>
      <c r="K92" s="28">
        <f t="shared" si="9"/>
        <v>255.49444444444444</v>
      </c>
      <c r="L92" s="28">
        <f t="shared" si="9"/>
        <v>341.375</v>
      </c>
    </row>
    <row r="93" spans="1:12" s="50" customFormat="1" ht="15.75" x14ac:dyDescent="0.2">
      <c r="A93" s="225" t="s">
        <v>29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7"/>
    </row>
    <row r="94" spans="1:12" s="124" customFormat="1" ht="15.75" x14ac:dyDescent="0.2">
      <c r="A94" s="171"/>
      <c r="B94" s="163" t="s">
        <v>30</v>
      </c>
      <c r="C94" s="123">
        <v>100</v>
      </c>
      <c r="D94" s="11">
        <v>1.1000000000000001</v>
      </c>
      <c r="E94" s="11">
        <v>0.2</v>
      </c>
      <c r="F94" s="11">
        <v>3.8</v>
      </c>
      <c r="G94" s="11">
        <v>24</v>
      </c>
      <c r="H94" s="11">
        <v>0.06</v>
      </c>
      <c r="I94" s="11">
        <v>0.17</v>
      </c>
      <c r="J94" s="11">
        <v>14.33</v>
      </c>
      <c r="K94" s="11">
        <v>20.329999999999998</v>
      </c>
      <c r="L94" s="11">
        <v>23.4</v>
      </c>
    </row>
    <row r="95" spans="1:12" s="124" customFormat="1" ht="31.5" x14ac:dyDescent="0.2">
      <c r="A95" s="171" t="s">
        <v>66</v>
      </c>
      <c r="B95" s="163" t="s">
        <v>67</v>
      </c>
      <c r="C95" s="123">
        <v>250</v>
      </c>
      <c r="D95" s="26">
        <v>1.77</v>
      </c>
      <c r="E95" s="26">
        <f>19.8*0.2+5</f>
        <v>8.9600000000000009</v>
      </c>
      <c r="F95" s="26">
        <v>7.9</v>
      </c>
      <c r="G95" s="26">
        <v>89.75</v>
      </c>
      <c r="H95" s="26">
        <f>0.23*0.2-0.04</f>
        <v>6.0000000000000053E-3</v>
      </c>
      <c r="I95" s="26">
        <v>0.05</v>
      </c>
      <c r="J95" s="26">
        <v>15.78</v>
      </c>
      <c r="K95" s="26">
        <v>167.75</v>
      </c>
      <c r="L95" s="26">
        <v>147</v>
      </c>
    </row>
    <row r="96" spans="1:12" s="125" customFormat="1" ht="31.5" x14ac:dyDescent="0.25">
      <c r="A96" s="162" t="s">
        <v>150</v>
      </c>
      <c r="B96" s="163" t="s">
        <v>151</v>
      </c>
      <c r="C96" s="123">
        <v>100</v>
      </c>
      <c r="D96" s="11">
        <v>16.73</v>
      </c>
      <c r="E96" s="11">
        <v>14.48</v>
      </c>
      <c r="F96" s="11">
        <v>13.91</v>
      </c>
      <c r="G96" s="11">
        <v>245.56</v>
      </c>
      <c r="H96" s="11">
        <v>0.31</v>
      </c>
      <c r="I96" s="11">
        <v>1.9</v>
      </c>
      <c r="J96" s="11"/>
      <c r="K96" s="11">
        <v>70.989999999999995</v>
      </c>
      <c r="L96" s="11">
        <v>321.47000000000003</v>
      </c>
    </row>
    <row r="97" spans="1:12" s="125" customFormat="1" ht="15.75" x14ac:dyDescent="0.25">
      <c r="A97" s="162" t="s">
        <v>68</v>
      </c>
      <c r="B97" s="163" t="s">
        <v>69</v>
      </c>
      <c r="C97" s="123">
        <v>180</v>
      </c>
      <c r="D97" s="11">
        <v>8.6199999999999992</v>
      </c>
      <c r="E97" s="11">
        <v>5.42</v>
      </c>
      <c r="F97" s="11">
        <v>71.73</v>
      </c>
      <c r="G97" s="11">
        <v>352.14</v>
      </c>
      <c r="H97" s="11">
        <f>0.17*0.15</f>
        <v>2.5500000000000002E-2</v>
      </c>
      <c r="I97" s="11">
        <v>0.21</v>
      </c>
      <c r="J97" s="11"/>
      <c r="K97" s="11">
        <v>78.88</v>
      </c>
      <c r="L97" s="11">
        <v>56.6</v>
      </c>
    </row>
    <row r="98" spans="1:12" s="125" customFormat="1" ht="15.75" x14ac:dyDescent="0.25">
      <c r="A98" s="162" t="s">
        <v>36</v>
      </c>
      <c r="B98" s="34" t="s">
        <v>37</v>
      </c>
      <c r="C98" s="33">
        <v>200</v>
      </c>
      <c r="D98" s="11">
        <f>0.8*0.2</f>
        <v>0.16000000000000003</v>
      </c>
      <c r="E98" s="11">
        <f>0.8*0.2</f>
        <v>0.16000000000000003</v>
      </c>
      <c r="F98" s="11">
        <f>139*0.2</f>
        <v>27.8</v>
      </c>
      <c r="G98" s="11">
        <f>573*0.2</f>
        <v>114.60000000000001</v>
      </c>
      <c r="H98" s="11">
        <f>0.06*0.2</f>
        <v>1.2E-2</v>
      </c>
      <c r="I98" s="11">
        <f>0.04*0.2</f>
        <v>8.0000000000000002E-3</v>
      </c>
      <c r="J98" s="11">
        <f>4.5*0.2</f>
        <v>0.9</v>
      </c>
      <c r="K98" s="11">
        <v>91</v>
      </c>
      <c r="L98" s="11">
        <f>22*0.2</f>
        <v>4.4000000000000004</v>
      </c>
    </row>
    <row r="99" spans="1:12" s="125" customFormat="1" ht="15.75" x14ac:dyDescent="0.25">
      <c r="A99" s="154" t="s">
        <v>23</v>
      </c>
      <c r="B99" s="34" t="s">
        <v>24</v>
      </c>
      <c r="C99" s="33">
        <v>100</v>
      </c>
      <c r="D99" s="11">
        <v>0.4</v>
      </c>
      <c r="E99" s="11">
        <v>0.2</v>
      </c>
      <c r="F99" s="11">
        <v>9.8000000000000007</v>
      </c>
      <c r="G99" s="11">
        <v>47</v>
      </c>
      <c r="H99" s="11">
        <v>0.04</v>
      </c>
      <c r="I99" s="11">
        <v>0.05</v>
      </c>
      <c r="J99" s="11">
        <f>10-3</f>
        <v>7</v>
      </c>
      <c r="K99" s="11">
        <f>16+10</f>
        <v>26</v>
      </c>
      <c r="L99" s="11">
        <v>11</v>
      </c>
    </row>
    <row r="100" spans="1:12" s="125" customFormat="1" ht="15.75" x14ac:dyDescent="0.25">
      <c r="A100" s="162"/>
      <c r="B100" s="163" t="s">
        <v>38</v>
      </c>
      <c r="C100" s="123">
        <v>20</v>
      </c>
      <c r="D100" s="19">
        <v>3.2</v>
      </c>
      <c r="E100" s="19">
        <v>0.79</v>
      </c>
      <c r="F100" s="19">
        <v>29.68</v>
      </c>
      <c r="G100" s="19">
        <v>104</v>
      </c>
      <c r="H100" s="19">
        <v>6.2000000000000006E-2</v>
      </c>
      <c r="I100" s="19"/>
      <c r="J100" s="19">
        <v>0.8</v>
      </c>
      <c r="K100" s="19">
        <v>18.044444444444444</v>
      </c>
      <c r="L100" s="19">
        <v>26</v>
      </c>
    </row>
    <row r="101" spans="1:12" s="125" customFormat="1" ht="20.25" customHeight="1" x14ac:dyDescent="0.25">
      <c r="A101" s="162"/>
      <c r="B101" s="163" t="s">
        <v>27</v>
      </c>
      <c r="C101" s="123">
        <v>40</v>
      </c>
      <c r="D101" s="11">
        <v>1.32</v>
      </c>
      <c r="E101" s="11">
        <v>0.24</v>
      </c>
      <c r="F101" s="11">
        <v>7.9279999999999999</v>
      </c>
      <c r="G101" s="11">
        <v>39.6</v>
      </c>
      <c r="H101" s="11">
        <v>3.4000000000000002E-2</v>
      </c>
      <c r="I101" s="11"/>
      <c r="J101" s="11">
        <v>0</v>
      </c>
      <c r="K101" s="11">
        <v>5.8</v>
      </c>
      <c r="L101" s="11">
        <v>30</v>
      </c>
    </row>
    <row r="102" spans="1:12" s="125" customFormat="1" ht="15.75" x14ac:dyDescent="0.25">
      <c r="A102" s="172"/>
      <c r="B102" s="126" t="s">
        <v>39</v>
      </c>
      <c r="C102" s="128">
        <f t="shared" ref="C102:L102" si="10">SUM(C94:C101)</f>
        <v>990</v>
      </c>
      <c r="D102" s="28">
        <f t="shared" si="10"/>
        <v>33.299999999999997</v>
      </c>
      <c r="E102" s="28">
        <f t="shared" si="10"/>
        <v>30.45</v>
      </c>
      <c r="F102" s="28">
        <f t="shared" si="10"/>
        <v>172.548</v>
      </c>
      <c r="G102" s="28">
        <f t="shared" si="10"/>
        <v>1016.6500000000001</v>
      </c>
      <c r="H102" s="28">
        <f t="shared" si="10"/>
        <v>0.5495000000000001</v>
      </c>
      <c r="I102" s="28">
        <f>SUM(I94:I101)</f>
        <v>2.3879999999999999</v>
      </c>
      <c r="J102" s="28">
        <f t="shared" si="10"/>
        <v>38.809999999999995</v>
      </c>
      <c r="K102" s="28">
        <f t="shared" si="10"/>
        <v>478.79444444444442</v>
      </c>
      <c r="L102" s="28">
        <f t="shared" si="10"/>
        <v>619.87</v>
      </c>
    </row>
    <row r="103" spans="1:12" s="125" customFormat="1" ht="15.75" x14ac:dyDescent="0.25">
      <c r="A103" s="126"/>
      <c r="B103" s="127" t="s">
        <v>70</v>
      </c>
      <c r="C103" s="128">
        <f t="shared" ref="C103:L103" si="11">C102+C92</f>
        <v>1560</v>
      </c>
      <c r="D103" s="22">
        <f t="shared" si="11"/>
        <v>52.126249999999999</v>
      </c>
      <c r="E103" s="22">
        <f t="shared" si="11"/>
        <v>48.484999999999999</v>
      </c>
      <c r="F103" s="22">
        <f t="shared" si="11"/>
        <v>254.03800000000001</v>
      </c>
      <c r="G103" s="22">
        <f t="shared" si="11"/>
        <v>1580.15</v>
      </c>
      <c r="H103" s="22">
        <f t="shared" si="11"/>
        <v>0.80650000000000011</v>
      </c>
      <c r="I103" s="22">
        <f t="shared" si="11"/>
        <v>2.7079999999999997</v>
      </c>
      <c r="J103" s="22">
        <f t="shared" si="11"/>
        <v>53.259999999999991</v>
      </c>
      <c r="K103" s="22">
        <f t="shared" si="11"/>
        <v>734.28888888888889</v>
      </c>
      <c r="L103" s="22">
        <f t="shared" si="11"/>
        <v>961.245</v>
      </c>
    </row>
    <row r="104" spans="1:12" s="125" customFormat="1" ht="15.75" customHeight="1" x14ac:dyDescent="0.25">
      <c r="A104" s="228" t="s">
        <v>71</v>
      </c>
      <c r="B104" s="229"/>
      <c r="C104" s="229"/>
      <c r="D104" s="229"/>
      <c r="E104" s="229"/>
      <c r="F104" s="229"/>
      <c r="G104" s="230"/>
      <c r="H104" s="173"/>
      <c r="I104" s="173"/>
      <c r="J104" s="173"/>
      <c r="K104" s="173"/>
      <c r="L104" s="173"/>
    </row>
    <row r="105" spans="1:12" s="125" customFormat="1" ht="15.75" customHeight="1" x14ac:dyDescent="0.25">
      <c r="A105" s="225" t="s">
        <v>16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5" customFormat="1" ht="15.75" x14ac:dyDescent="0.25">
      <c r="A106" s="162"/>
      <c r="B106" s="163" t="s">
        <v>30</v>
      </c>
      <c r="C106" s="123">
        <v>100</v>
      </c>
      <c r="D106" s="11">
        <v>1.1000000000000001</v>
      </c>
      <c r="E106" s="11">
        <v>0.2</v>
      </c>
      <c r="F106" s="11">
        <v>3.8</v>
      </c>
      <c r="G106" s="11">
        <v>24</v>
      </c>
      <c r="H106" s="11">
        <v>0.06</v>
      </c>
      <c r="I106" s="11">
        <v>0.17</v>
      </c>
      <c r="J106" s="11">
        <v>14.33</v>
      </c>
      <c r="K106" s="11">
        <v>20.329999999999998</v>
      </c>
      <c r="L106" s="11">
        <v>23.4</v>
      </c>
    </row>
    <row r="107" spans="1:12" s="125" customFormat="1" ht="15.75" x14ac:dyDescent="0.25">
      <c r="A107" s="162" t="s">
        <v>72</v>
      </c>
      <c r="B107" s="163" t="s">
        <v>73</v>
      </c>
      <c r="C107" s="123">
        <v>100</v>
      </c>
      <c r="D107" s="26">
        <v>9.27</v>
      </c>
      <c r="E107" s="26">
        <v>13.54</v>
      </c>
      <c r="F107" s="26">
        <v>3.21</v>
      </c>
      <c r="G107" s="26">
        <v>190</v>
      </c>
      <c r="H107" s="26">
        <v>0.03</v>
      </c>
      <c r="I107" s="26"/>
      <c r="J107" s="26">
        <v>0.92</v>
      </c>
      <c r="K107" s="26">
        <v>100</v>
      </c>
      <c r="L107" s="26">
        <v>187.35</v>
      </c>
    </row>
    <row r="108" spans="1:12" s="125" customFormat="1" ht="15.75" x14ac:dyDescent="0.25">
      <c r="A108" s="157" t="s">
        <v>51</v>
      </c>
      <c r="B108" s="38" t="s">
        <v>52</v>
      </c>
      <c r="C108" s="39">
        <v>180</v>
      </c>
      <c r="D108" s="26">
        <v>3.91</v>
      </c>
      <c r="E108" s="26">
        <v>6.74</v>
      </c>
      <c r="F108" s="26">
        <v>22.67</v>
      </c>
      <c r="G108" s="26">
        <v>277.8</v>
      </c>
      <c r="H108" s="26">
        <v>0.12</v>
      </c>
      <c r="I108" s="26">
        <v>0.24</v>
      </c>
      <c r="J108" s="26">
        <v>3.55</v>
      </c>
      <c r="K108" s="26">
        <v>82.99</v>
      </c>
      <c r="L108" s="26">
        <v>97.1</v>
      </c>
    </row>
    <row r="109" spans="1:12" s="125" customFormat="1" ht="15.75" x14ac:dyDescent="0.25">
      <c r="A109" s="159" t="s">
        <v>45</v>
      </c>
      <c r="B109" s="36" t="s">
        <v>46</v>
      </c>
      <c r="C109" s="37">
        <v>215</v>
      </c>
      <c r="D109" s="48">
        <v>7.0000000000000007E-2</v>
      </c>
      <c r="E109" s="48">
        <v>0.02</v>
      </c>
      <c r="F109" s="48">
        <v>15</v>
      </c>
      <c r="G109" s="48">
        <v>60</v>
      </c>
      <c r="H109" s="48"/>
      <c r="I109" s="48"/>
      <c r="J109" s="48">
        <v>0.03</v>
      </c>
      <c r="K109" s="48">
        <v>11.1</v>
      </c>
      <c r="L109" s="48">
        <v>2.8</v>
      </c>
    </row>
    <row r="110" spans="1:12" s="125" customFormat="1" ht="15.75" x14ac:dyDescent="0.25">
      <c r="A110" s="162" t="s">
        <v>74</v>
      </c>
      <c r="B110" s="163" t="s">
        <v>75</v>
      </c>
      <c r="C110" s="123">
        <v>50</v>
      </c>
      <c r="D110" s="11">
        <v>4.6399999999999997</v>
      </c>
      <c r="E110" s="11">
        <v>0.99</v>
      </c>
      <c r="F110" s="11">
        <v>23.45</v>
      </c>
      <c r="G110" s="11">
        <f>121-50</f>
        <v>71</v>
      </c>
      <c r="H110" s="11">
        <v>0.08</v>
      </c>
      <c r="I110" s="11">
        <v>0.03</v>
      </c>
      <c r="J110" s="11">
        <v>0.13</v>
      </c>
      <c r="K110" s="11">
        <f>30.2+10</f>
        <v>40.200000000000003</v>
      </c>
      <c r="L110" s="11">
        <f>51.7+20</f>
        <v>71.7</v>
      </c>
    </row>
    <row r="111" spans="1:12" s="125" customFormat="1" ht="20.25" customHeight="1" x14ac:dyDescent="0.25">
      <c r="A111" s="162"/>
      <c r="B111" s="163" t="s">
        <v>27</v>
      </c>
      <c r="C111" s="123">
        <v>40</v>
      </c>
      <c r="D111" s="11">
        <v>1.32</v>
      </c>
      <c r="E111" s="11">
        <v>0.24</v>
      </c>
      <c r="F111" s="11">
        <v>7.9279999999999999</v>
      </c>
      <c r="G111" s="11">
        <v>39.6</v>
      </c>
      <c r="H111" s="11">
        <v>3.4000000000000002E-2</v>
      </c>
      <c r="I111" s="11"/>
      <c r="J111" s="11">
        <v>0</v>
      </c>
      <c r="K111" s="11">
        <v>5.8</v>
      </c>
      <c r="L111" s="11">
        <v>30</v>
      </c>
    </row>
    <row r="112" spans="1:12" s="125" customFormat="1" ht="15.75" x14ac:dyDescent="0.25">
      <c r="A112" s="174"/>
      <c r="B112" s="126" t="s">
        <v>28</v>
      </c>
      <c r="C112" s="128">
        <f t="shared" ref="C112:L112" si="12">SUM(C106:C111)</f>
        <v>685</v>
      </c>
      <c r="D112" s="28">
        <f t="shared" si="12"/>
        <v>20.309999999999999</v>
      </c>
      <c r="E112" s="28">
        <f>SUM(E106:E111)</f>
        <v>21.729999999999993</v>
      </c>
      <c r="F112" s="28">
        <f t="shared" si="12"/>
        <v>76.057999999999993</v>
      </c>
      <c r="G112" s="28">
        <f t="shared" si="12"/>
        <v>662.4</v>
      </c>
      <c r="H112" s="28">
        <f t="shared" si="12"/>
        <v>0.32399999999999995</v>
      </c>
      <c r="I112" s="28">
        <f>SUM(I106:I111)</f>
        <v>0.44000000000000006</v>
      </c>
      <c r="J112" s="28">
        <f>SUM(J106:J111)</f>
        <v>18.96</v>
      </c>
      <c r="K112" s="28">
        <f>SUM(K106:K111)</f>
        <v>260.42</v>
      </c>
      <c r="L112" s="28">
        <f t="shared" si="12"/>
        <v>412.35</v>
      </c>
    </row>
    <row r="113" spans="1:12" s="125" customFormat="1" ht="15.75" x14ac:dyDescent="0.25">
      <c r="A113" s="225" t="s">
        <v>29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7"/>
    </row>
    <row r="114" spans="1:12" s="125" customFormat="1" ht="15.75" x14ac:dyDescent="0.25">
      <c r="A114" s="162"/>
      <c r="B114" s="163" t="s">
        <v>30</v>
      </c>
      <c r="C114" s="123">
        <v>100</v>
      </c>
      <c r="D114" s="11">
        <v>1.1000000000000001</v>
      </c>
      <c r="E114" s="11">
        <v>0.2</v>
      </c>
      <c r="F114" s="11">
        <v>3.8</v>
      </c>
      <c r="G114" s="11">
        <v>24</v>
      </c>
      <c r="H114" s="11">
        <v>0.06</v>
      </c>
      <c r="I114" s="11">
        <v>0.17</v>
      </c>
      <c r="J114" s="11">
        <v>14.33</v>
      </c>
      <c r="K114" s="11">
        <v>20.329999999999998</v>
      </c>
      <c r="L114" s="11">
        <v>23.4</v>
      </c>
    </row>
    <row r="115" spans="1:12" s="125" customFormat="1" ht="31.5" x14ac:dyDescent="0.25">
      <c r="A115" s="162" t="s">
        <v>76</v>
      </c>
      <c r="B115" s="163" t="s">
        <v>77</v>
      </c>
      <c r="C115" s="123">
        <v>250</v>
      </c>
      <c r="D115" s="26">
        <v>5.49</v>
      </c>
      <c r="E115" s="26">
        <v>5.27</v>
      </c>
      <c r="F115" s="26">
        <v>56.54</v>
      </c>
      <c r="G115" s="26">
        <v>188.25</v>
      </c>
      <c r="H115" s="26">
        <v>0.14000000000000001</v>
      </c>
      <c r="I115" s="26">
        <v>0.11</v>
      </c>
      <c r="J115" s="26">
        <v>6.83</v>
      </c>
      <c r="K115" s="26">
        <v>122.68</v>
      </c>
      <c r="L115" s="26">
        <v>123.1</v>
      </c>
    </row>
    <row r="116" spans="1:12" s="50" customFormat="1" ht="23.25" customHeight="1" x14ac:dyDescent="0.2">
      <c r="A116" s="166" t="s">
        <v>78</v>
      </c>
      <c r="B116" s="167" t="s">
        <v>79</v>
      </c>
      <c r="C116" s="42">
        <v>100</v>
      </c>
      <c r="D116" s="43">
        <v>10.66</v>
      </c>
      <c r="E116" s="43">
        <v>15.68</v>
      </c>
      <c r="F116" s="43">
        <v>0.18</v>
      </c>
      <c r="G116" s="43">
        <v>166.66</v>
      </c>
      <c r="H116" s="43">
        <f>0.05-0.03</f>
        <v>2.0000000000000004E-2</v>
      </c>
      <c r="I116" s="43">
        <v>0.1</v>
      </c>
      <c r="J116" s="43">
        <v>1.6</v>
      </c>
      <c r="K116" s="43">
        <v>76.56</v>
      </c>
      <c r="L116" s="43">
        <v>100.55</v>
      </c>
    </row>
    <row r="117" spans="1:12" s="125" customFormat="1" ht="15.75" x14ac:dyDescent="0.25">
      <c r="A117" s="155" t="s">
        <v>34</v>
      </c>
      <c r="B117" s="34" t="s">
        <v>35</v>
      </c>
      <c r="C117" s="33">
        <v>180</v>
      </c>
      <c r="D117" s="11">
        <v>7.09</v>
      </c>
      <c r="E117" s="11">
        <v>7.31</v>
      </c>
      <c r="F117" s="11">
        <v>46.37</v>
      </c>
      <c r="G117" s="11">
        <v>297.36</v>
      </c>
      <c r="H117" s="11">
        <v>0.17</v>
      </c>
      <c r="I117" s="11">
        <v>0.18</v>
      </c>
      <c r="J117" s="11"/>
      <c r="K117" s="11">
        <v>118.56</v>
      </c>
      <c r="L117" s="11">
        <v>292.25</v>
      </c>
    </row>
    <row r="118" spans="1:12" s="125" customFormat="1" ht="15.75" x14ac:dyDescent="0.25">
      <c r="A118" s="162" t="s">
        <v>36</v>
      </c>
      <c r="B118" s="34" t="s">
        <v>37</v>
      </c>
      <c r="C118" s="33">
        <v>200</v>
      </c>
      <c r="D118" s="11">
        <f>0.8*0.2</f>
        <v>0.16000000000000003</v>
      </c>
      <c r="E118" s="11">
        <f>0.8*0.2</f>
        <v>0.16000000000000003</v>
      </c>
      <c r="F118" s="11">
        <f>139*0.2</f>
        <v>27.8</v>
      </c>
      <c r="G118" s="11">
        <f>573*0.2</f>
        <v>114.60000000000001</v>
      </c>
      <c r="H118" s="11">
        <f>0.06*0.2</f>
        <v>1.2E-2</v>
      </c>
      <c r="I118" s="11">
        <f>0.04*0.2</f>
        <v>8.0000000000000002E-3</v>
      </c>
      <c r="J118" s="11">
        <f>4.5*0.2</f>
        <v>0.9</v>
      </c>
      <c r="K118" s="11">
        <v>91</v>
      </c>
      <c r="L118" s="11">
        <f>22*0.2</f>
        <v>4.4000000000000004</v>
      </c>
    </row>
    <row r="119" spans="1:12" s="125" customFormat="1" ht="15.75" x14ac:dyDescent="0.25">
      <c r="A119" s="162"/>
      <c r="B119" s="163" t="s">
        <v>38</v>
      </c>
      <c r="C119" s="123">
        <v>20</v>
      </c>
      <c r="D119" s="19">
        <v>3.2</v>
      </c>
      <c r="E119" s="19">
        <v>0.79</v>
      </c>
      <c r="F119" s="19">
        <v>29.68</v>
      </c>
      <c r="G119" s="19">
        <v>104</v>
      </c>
      <c r="H119" s="19">
        <v>6.2000000000000006E-2</v>
      </c>
      <c r="I119" s="19"/>
      <c r="J119" s="19">
        <v>0.8</v>
      </c>
      <c r="K119" s="19">
        <v>18.044444444444444</v>
      </c>
      <c r="L119" s="19">
        <v>26</v>
      </c>
    </row>
    <row r="120" spans="1:12" s="125" customFormat="1" ht="20.25" customHeight="1" x14ac:dyDescent="0.25">
      <c r="A120" s="162"/>
      <c r="B120" s="163" t="s">
        <v>27</v>
      </c>
      <c r="C120" s="123">
        <v>40</v>
      </c>
      <c r="D120" s="11">
        <v>1.32</v>
      </c>
      <c r="E120" s="11">
        <v>0.24</v>
      </c>
      <c r="F120" s="11">
        <v>7.9279999999999999</v>
      </c>
      <c r="G120" s="11">
        <v>39.6</v>
      </c>
      <c r="H120" s="11">
        <v>3.4000000000000002E-2</v>
      </c>
      <c r="I120" s="11"/>
      <c r="J120" s="11">
        <v>0</v>
      </c>
      <c r="K120" s="11">
        <v>5.8</v>
      </c>
      <c r="L120" s="11">
        <v>30</v>
      </c>
    </row>
    <row r="121" spans="1:12" s="125" customFormat="1" ht="15.75" x14ac:dyDescent="0.25">
      <c r="A121" s="174"/>
      <c r="B121" s="126" t="s">
        <v>39</v>
      </c>
      <c r="C121" s="128">
        <f t="shared" ref="C121:L121" si="13">SUM(C114:C120)</f>
        <v>890</v>
      </c>
      <c r="D121" s="28">
        <f t="shared" si="13"/>
        <v>29.02</v>
      </c>
      <c r="E121" s="28">
        <f t="shared" si="13"/>
        <v>29.649999999999995</v>
      </c>
      <c r="F121" s="28">
        <f t="shared" si="13"/>
        <v>172.298</v>
      </c>
      <c r="G121" s="28">
        <f t="shared" si="13"/>
        <v>934.47</v>
      </c>
      <c r="H121" s="28">
        <f t="shared" si="13"/>
        <v>0.498</v>
      </c>
      <c r="I121" s="28">
        <f t="shared" si="13"/>
        <v>0.56800000000000006</v>
      </c>
      <c r="J121" s="28">
        <f t="shared" si="13"/>
        <v>24.46</v>
      </c>
      <c r="K121" s="28">
        <f t="shared" si="13"/>
        <v>452.97444444444443</v>
      </c>
      <c r="L121" s="28">
        <f t="shared" si="13"/>
        <v>599.69999999999993</v>
      </c>
    </row>
    <row r="122" spans="1:12" s="125" customFormat="1" ht="15.75" x14ac:dyDescent="0.25">
      <c r="A122" s="126"/>
      <c r="B122" s="127" t="s">
        <v>80</v>
      </c>
      <c r="C122" s="128">
        <f t="shared" ref="C122:L122" si="14">C121+C112</f>
        <v>1575</v>
      </c>
      <c r="D122" s="22">
        <f t="shared" si="14"/>
        <v>49.33</v>
      </c>
      <c r="E122" s="22">
        <f t="shared" si="14"/>
        <v>51.379999999999988</v>
      </c>
      <c r="F122" s="22">
        <f t="shared" si="14"/>
        <v>248.35599999999999</v>
      </c>
      <c r="G122" s="22">
        <f t="shared" si="14"/>
        <v>1596.87</v>
      </c>
      <c r="H122" s="22">
        <f t="shared" si="14"/>
        <v>0.82199999999999995</v>
      </c>
      <c r="I122" s="22">
        <f t="shared" si="14"/>
        <v>1.008</v>
      </c>
      <c r="J122" s="22">
        <f t="shared" si="14"/>
        <v>43.42</v>
      </c>
      <c r="K122" s="22">
        <f t="shared" si="14"/>
        <v>713.39444444444439</v>
      </c>
      <c r="L122" s="22">
        <f t="shared" si="14"/>
        <v>1012.05</v>
      </c>
    </row>
    <row r="123" spans="1:12" s="132" customFormat="1" ht="15.75" hidden="1" x14ac:dyDescent="0.25">
      <c r="A123" s="212" t="s">
        <v>81</v>
      </c>
      <c r="B123" s="212"/>
      <c r="C123" s="129">
        <f>SUM(C37,C55,C74,C92,C112)/5</f>
        <v>633.20000000000005</v>
      </c>
      <c r="D123" s="130">
        <f t="shared" ref="D123:L123" si="15">SUM(D37,D55,D74,D92,D112)/5</f>
        <v>19.905250000000002</v>
      </c>
      <c r="E123" s="130">
        <f t="shared" si="15"/>
        <v>19.820999999999994</v>
      </c>
      <c r="F123" s="130">
        <f t="shared" si="15"/>
        <v>81.669600000000003</v>
      </c>
      <c r="G123" s="131">
        <f t="shared" si="15"/>
        <v>621.55000000000007</v>
      </c>
      <c r="H123" s="131">
        <f t="shared" si="15"/>
        <v>0.29639999999999994</v>
      </c>
      <c r="I123" s="131">
        <f t="shared" si="15"/>
        <v>0.45200000000000007</v>
      </c>
      <c r="J123" s="131">
        <f t="shared" si="15"/>
        <v>17</v>
      </c>
      <c r="K123" s="131">
        <f t="shared" si="15"/>
        <v>270.3895555555556</v>
      </c>
      <c r="L123" s="131">
        <f t="shared" si="15"/>
        <v>408.32900000000001</v>
      </c>
    </row>
    <row r="124" spans="1:12" s="132" customFormat="1" ht="15.75" hidden="1" x14ac:dyDescent="0.25">
      <c r="A124" s="213" t="s">
        <v>82</v>
      </c>
      <c r="B124" s="213"/>
      <c r="C124" s="133">
        <f>SUM(C46,C64,C83,C102,C121)/5</f>
        <v>921</v>
      </c>
      <c r="D124" s="134">
        <f t="shared" ref="D124:L124" si="16">SUM(D46,D64,D83,D102,D121)/5</f>
        <v>29.209759999999999</v>
      </c>
      <c r="E124" s="134">
        <f t="shared" si="16"/>
        <v>29.857399999999995</v>
      </c>
      <c r="F124" s="134">
        <f t="shared" si="16"/>
        <v>141.01055000000002</v>
      </c>
      <c r="G124" s="134">
        <f t="shared" si="16"/>
        <v>896.38199999999995</v>
      </c>
      <c r="H124" s="134">
        <f t="shared" si="16"/>
        <v>0.47886000000000006</v>
      </c>
      <c r="I124" s="134">
        <f t="shared" si="16"/>
        <v>0.92740000000000011</v>
      </c>
      <c r="J124" s="134">
        <f t="shared" si="16"/>
        <v>31.026</v>
      </c>
      <c r="K124" s="134">
        <f t="shared" si="16"/>
        <v>411.93315555555557</v>
      </c>
      <c r="L124" s="134">
        <f t="shared" si="16"/>
        <v>612.31999999999994</v>
      </c>
    </row>
    <row r="125" spans="1:12" s="132" customFormat="1" ht="15.75" customHeight="1" x14ac:dyDescent="0.25">
      <c r="A125" s="231" t="s">
        <v>83</v>
      </c>
      <c r="B125" s="232"/>
      <c r="C125" s="232"/>
      <c r="D125" s="232"/>
      <c r="E125" s="232"/>
      <c r="F125" s="232"/>
      <c r="G125" s="233"/>
      <c r="H125" s="173"/>
      <c r="I125" s="173"/>
      <c r="J125" s="173"/>
      <c r="K125" s="173"/>
      <c r="L125" s="173"/>
    </row>
    <row r="126" spans="1:12" s="132" customFormat="1" ht="15.75" customHeight="1" x14ac:dyDescent="0.25">
      <c r="A126" s="222" t="s">
        <v>16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4"/>
    </row>
    <row r="127" spans="1:12" s="125" customFormat="1" ht="15.75" x14ac:dyDescent="0.25">
      <c r="A127" s="175"/>
      <c r="B127" s="176" t="s">
        <v>30</v>
      </c>
      <c r="C127" s="135">
        <v>100</v>
      </c>
      <c r="D127" s="10">
        <v>1.1000000000000001</v>
      </c>
      <c r="E127" s="10">
        <v>0.2</v>
      </c>
      <c r="F127" s="10">
        <v>3.8</v>
      </c>
      <c r="G127" s="10">
        <v>24</v>
      </c>
      <c r="H127" s="11">
        <v>0.06</v>
      </c>
      <c r="I127" s="11">
        <v>0.17</v>
      </c>
      <c r="J127" s="11">
        <v>14.33</v>
      </c>
      <c r="K127" s="11">
        <v>20.329999999999998</v>
      </c>
      <c r="L127" s="11">
        <v>23.4</v>
      </c>
    </row>
    <row r="128" spans="1:12" s="125" customFormat="1" ht="15.75" x14ac:dyDescent="0.25">
      <c r="A128" s="177" t="s">
        <v>21</v>
      </c>
      <c r="B128" s="176" t="s">
        <v>22</v>
      </c>
      <c r="C128" s="135">
        <v>40</v>
      </c>
      <c r="D128" s="10">
        <v>5.08</v>
      </c>
      <c r="E128" s="10">
        <v>4.5999999999999996</v>
      </c>
      <c r="F128" s="10">
        <v>0.28000000000000003</v>
      </c>
      <c r="G128" s="10">
        <v>63</v>
      </c>
      <c r="H128" s="11">
        <v>0.03</v>
      </c>
      <c r="I128" s="11">
        <v>0.03</v>
      </c>
      <c r="J128" s="11"/>
      <c r="K128" s="11">
        <v>22</v>
      </c>
      <c r="L128" s="11">
        <v>76.8</v>
      </c>
    </row>
    <row r="129" spans="1:12" s="125" customFormat="1" ht="31.5" x14ac:dyDescent="0.25">
      <c r="A129" s="177" t="s">
        <v>84</v>
      </c>
      <c r="B129" s="176" t="s">
        <v>85</v>
      </c>
      <c r="C129" s="135">
        <v>100</v>
      </c>
      <c r="D129" s="25">
        <v>7.34</v>
      </c>
      <c r="E129" s="25">
        <v>7.16</v>
      </c>
      <c r="F129" s="25">
        <v>10.46</v>
      </c>
      <c r="G129" s="25">
        <v>135.55000000000001</v>
      </c>
      <c r="H129" s="26">
        <v>0.11</v>
      </c>
      <c r="I129" s="26">
        <v>0.12</v>
      </c>
      <c r="J129" s="26"/>
      <c r="K129" s="26">
        <v>56.72</v>
      </c>
      <c r="L129" s="26">
        <v>164.33</v>
      </c>
    </row>
    <row r="130" spans="1:12" s="125" customFormat="1" ht="15.75" x14ac:dyDescent="0.25">
      <c r="A130" s="177" t="s">
        <v>86</v>
      </c>
      <c r="B130" s="176" t="s">
        <v>87</v>
      </c>
      <c r="C130" s="135">
        <v>180</v>
      </c>
      <c r="D130" s="25">
        <v>4.38</v>
      </c>
      <c r="E130" s="25">
        <v>6.44</v>
      </c>
      <c r="F130" s="25">
        <v>44.02</v>
      </c>
      <c r="G130" s="25">
        <v>251.28</v>
      </c>
      <c r="H130" s="26">
        <v>0.05</v>
      </c>
      <c r="I130" s="26">
        <f>0.13*0.15</f>
        <v>1.95E-2</v>
      </c>
      <c r="J130" s="26"/>
      <c r="K130" s="26">
        <v>109.2</v>
      </c>
      <c r="L130" s="26">
        <v>121.14</v>
      </c>
    </row>
    <row r="131" spans="1:12" s="125" customFormat="1" ht="15.75" x14ac:dyDescent="0.25">
      <c r="A131" s="148" t="s">
        <v>23</v>
      </c>
      <c r="B131" s="8" t="s">
        <v>24</v>
      </c>
      <c r="C131" s="9">
        <v>100</v>
      </c>
      <c r="D131" s="10">
        <v>0.4</v>
      </c>
      <c r="E131" s="10">
        <v>0.2</v>
      </c>
      <c r="F131" s="10">
        <v>9.8000000000000007</v>
      </c>
      <c r="G131" s="10">
        <v>47</v>
      </c>
      <c r="H131" s="11">
        <v>0.04</v>
      </c>
      <c r="I131" s="11">
        <v>0.05</v>
      </c>
      <c r="J131" s="11">
        <f>10-3</f>
        <v>7</v>
      </c>
      <c r="K131" s="11">
        <f>16+10</f>
        <v>26</v>
      </c>
      <c r="L131" s="11">
        <v>11</v>
      </c>
    </row>
    <row r="132" spans="1:12" s="125" customFormat="1" ht="15.75" x14ac:dyDescent="0.25">
      <c r="A132" s="149" t="s">
        <v>25</v>
      </c>
      <c r="B132" s="16" t="s">
        <v>26</v>
      </c>
      <c r="C132" s="17">
        <v>222</v>
      </c>
      <c r="D132" s="18">
        <v>0.13</v>
      </c>
      <c r="E132" s="18">
        <v>0.02</v>
      </c>
      <c r="F132" s="18">
        <v>15.2</v>
      </c>
      <c r="G132" s="18">
        <v>62</v>
      </c>
      <c r="H132" s="19"/>
      <c r="I132" s="19"/>
      <c r="J132" s="19">
        <v>2.83</v>
      </c>
      <c r="K132" s="19">
        <v>14.2</v>
      </c>
      <c r="L132" s="19">
        <v>4.4000000000000004</v>
      </c>
    </row>
    <row r="133" spans="1:12" s="125" customFormat="1" ht="20.25" customHeight="1" x14ac:dyDescent="0.25">
      <c r="A133" s="175"/>
      <c r="B133" s="176" t="s">
        <v>27</v>
      </c>
      <c r="C133" s="135">
        <v>40</v>
      </c>
      <c r="D133" s="10">
        <v>1.32</v>
      </c>
      <c r="E133" s="10">
        <v>0.24</v>
      </c>
      <c r="F133" s="10">
        <v>7.9279999999999999</v>
      </c>
      <c r="G133" s="10">
        <v>39.6</v>
      </c>
      <c r="H133" s="11">
        <v>3.4000000000000002E-2</v>
      </c>
      <c r="I133" s="11"/>
      <c r="J133" s="11">
        <v>0</v>
      </c>
      <c r="K133" s="11">
        <v>5.8</v>
      </c>
      <c r="L133" s="11">
        <v>30</v>
      </c>
    </row>
    <row r="134" spans="1:12" s="125" customFormat="1" ht="15.75" x14ac:dyDescent="0.25">
      <c r="A134" s="178"/>
      <c r="B134" s="136" t="s">
        <v>28</v>
      </c>
      <c r="C134" s="20">
        <f t="shared" ref="C134:L134" si="17">SUM(C127:C133)</f>
        <v>782</v>
      </c>
      <c r="D134" s="27">
        <f t="shared" si="17"/>
        <v>19.749999999999996</v>
      </c>
      <c r="E134" s="27">
        <f t="shared" si="17"/>
        <v>18.86</v>
      </c>
      <c r="F134" s="27">
        <f t="shared" si="17"/>
        <v>91.488</v>
      </c>
      <c r="G134" s="27">
        <f t="shared" si="17"/>
        <v>622.43000000000006</v>
      </c>
      <c r="H134" s="28">
        <f t="shared" si="17"/>
        <v>0.32399999999999995</v>
      </c>
      <c r="I134" s="28">
        <f>SUM(I127:I133)</f>
        <v>0.38950000000000001</v>
      </c>
      <c r="J134" s="28">
        <f>SUM(J127:J133)</f>
        <v>24.159999999999997</v>
      </c>
      <c r="K134" s="28">
        <f t="shared" si="17"/>
        <v>254.25</v>
      </c>
      <c r="L134" s="28">
        <f t="shared" si="17"/>
        <v>431.06999999999994</v>
      </c>
    </row>
    <row r="135" spans="1:12" s="125" customFormat="1" ht="15.75" x14ac:dyDescent="0.25">
      <c r="A135" s="222" t="s">
        <v>29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4"/>
    </row>
    <row r="136" spans="1:12" s="125" customFormat="1" ht="15.75" x14ac:dyDescent="0.25">
      <c r="A136" s="7"/>
      <c r="B136" s="8" t="s">
        <v>30</v>
      </c>
      <c r="C136" s="9">
        <v>100</v>
      </c>
      <c r="D136" s="10">
        <v>1.1000000000000001</v>
      </c>
      <c r="E136" s="10">
        <v>0.2</v>
      </c>
      <c r="F136" s="10">
        <v>3.8</v>
      </c>
      <c r="G136" s="10">
        <v>24</v>
      </c>
      <c r="H136" s="11">
        <v>0.06</v>
      </c>
      <c r="I136" s="11">
        <v>0.17</v>
      </c>
      <c r="J136" s="11">
        <v>14.33</v>
      </c>
      <c r="K136" s="11">
        <v>20.329999999999998</v>
      </c>
      <c r="L136" s="11">
        <v>23.4</v>
      </c>
    </row>
    <row r="137" spans="1:12" s="125" customFormat="1" ht="31.5" x14ac:dyDescent="0.25">
      <c r="A137" s="151">
        <v>82</v>
      </c>
      <c r="B137" s="23" t="s">
        <v>88</v>
      </c>
      <c r="C137" s="24">
        <v>250</v>
      </c>
      <c r="D137" s="25">
        <v>3.8</v>
      </c>
      <c r="E137" s="25">
        <v>9.92</v>
      </c>
      <c r="F137" s="25">
        <v>11.93</v>
      </c>
      <c r="G137" s="25">
        <v>153.75</v>
      </c>
      <c r="H137" s="26">
        <v>0.05</v>
      </c>
      <c r="I137" s="26">
        <v>0.09</v>
      </c>
      <c r="J137" s="26">
        <v>7.39</v>
      </c>
      <c r="K137" s="26">
        <v>127.5</v>
      </c>
      <c r="L137" s="26">
        <v>193.93</v>
      </c>
    </row>
    <row r="138" spans="1:12" s="125" customFormat="1" ht="15.75" x14ac:dyDescent="0.25">
      <c r="A138" s="175" t="s">
        <v>89</v>
      </c>
      <c r="B138" s="176" t="s">
        <v>90</v>
      </c>
      <c r="C138" s="135">
        <v>100</v>
      </c>
      <c r="D138" s="10">
        <v>13.77</v>
      </c>
      <c r="E138" s="10">
        <v>13.61</v>
      </c>
      <c r="F138" s="10">
        <v>4.2</v>
      </c>
      <c r="G138" s="10">
        <v>201.11</v>
      </c>
      <c r="H138" s="11">
        <v>0.09</v>
      </c>
      <c r="I138" s="11">
        <v>0.15</v>
      </c>
      <c r="J138" s="11">
        <v>0.41</v>
      </c>
      <c r="K138" s="11">
        <v>92.87</v>
      </c>
      <c r="L138" s="11">
        <v>138.80000000000001</v>
      </c>
    </row>
    <row r="139" spans="1:12" s="125" customFormat="1" ht="15.75" x14ac:dyDescent="0.25">
      <c r="A139" s="146" t="s">
        <v>34</v>
      </c>
      <c r="B139" s="8" t="s">
        <v>35</v>
      </c>
      <c r="C139" s="9">
        <v>180</v>
      </c>
      <c r="D139" s="10">
        <v>7.09</v>
      </c>
      <c r="E139" s="10">
        <v>7.31</v>
      </c>
      <c r="F139" s="10">
        <v>46.37</v>
      </c>
      <c r="G139" s="10">
        <v>297.36</v>
      </c>
      <c r="H139" s="11">
        <v>0.17</v>
      </c>
      <c r="I139" s="11">
        <v>0.18</v>
      </c>
      <c r="J139" s="11"/>
      <c r="K139" s="11">
        <v>118.56</v>
      </c>
      <c r="L139" s="11">
        <v>292.25</v>
      </c>
    </row>
    <row r="140" spans="1:12" s="125" customFormat="1" ht="15.75" x14ac:dyDescent="0.25">
      <c r="A140" s="175"/>
      <c r="B140" s="176" t="s">
        <v>91</v>
      </c>
      <c r="C140" s="135">
        <v>200</v>
      </c>
      <c r="D140" s="25">
        <v>1</v>
      </c>
      <c r="E140" s="25"/>
      <c r="F140" s="25">
        <v>19.8</v>
      </c>
      <c r="G140" s="25">
        <v>86.6</v>
      </c>
      <c r="H140" s="26">
        <v>0.02</v>
      </c>
      <c r="I140" s="26">
        <v>0.01</v>
      </c>
      <c r="J140" s="26">
        <f>4-1.5</f>
        <v>2.5</v>
      </c>
      <c r="K140" s="26">
        <f>14+60</f>
        <v>74</v>
      </c>
      <c r="L140" s="26">
        <v>14</v>
      </c>
    </row>
    <row r="141" spans="1:12" s="125" customFormat="1" ht="15.75" x14ac:dyDescent="0.25">
      <c r="A141" s="175"/>
      <c r="B141" s="176" t="s">
        <v>38</v>
      </c>
      <c r="C141" s="135">
        <v>20</v>
      </c>
      <c r="D141" s="18">
        <v>3.2</v>
      </c>
      <c r="E141" s="18">
        <v>0.79</v>
      </c>
      <c r="F141" s="18">
        <v>29.68</v>
      </c>
      <c r="G141" s="18">
        <v>104</v>
      </c>
      <c r="H141" s="19">
        <v>6.2000000000000006E-2</v>
      </c>
      <c r="I141" s="19"/>
      <c r="J141" s="19">
        <v>0.8</v>
      </c>
      <c r="K141" s="19">
        <v>18.044444444444444</v>
      </c>
      <c r="L141" s="19">
        <v>26</v>
      </c>
    </row>
    <row r="142" spans="1:12" s="125" customFormat="1" ht="20.25" customHeight="1" x14ac:dyDescent="0.25">
      <c r="A142" s="175"/>
      <c r="B142" s="176" t="s">
        <v>27</v>
      </c>
      <c r="C142" s="135">
        <v>40</v>
      </c>
      <c r="D142" s="10">
        <v>1.32</v>
      </c>
      <c r="E142" s="10">
        <v>0.24</v>
      </c>
      <c r="F142" s="10">
        <v>7.9279999999999999</v>
      </c>
      <c r="G142" s="10">
        <v>39.6</v>
      </c>
      <c r="H142" s="11">
        <v>3.4000000000000002E-2</v>
      </c>
      <c r="I142" s="11"/>
      <c r="J142" s="11">
        <v>0</v>
      </c>
      <c r="K142" s="11">
        <v>5.8</v>
      </c>
      <c r="L142" s="11">
        <v>30</v>
      </c>
    </row>
    <row r="143" spans="1:12" s="125" customFormat="1" ht="15.75" x14ac:dyDescent="0.25">
      <c r="A143" s="178"/>
      <c r="B143" s="136" t="s">
        <v>39</v>
      </c>
      <c r="C143" s="20">
        <f t="shared" ref="C143:L143" si="18">SUM(C136:C142)</f>
        <v>890</v>
      </c>
      <c r="D143" s="27">
        <f t="shared" si="18"/>
        <v>31.28</v>
      </c>
      <c r="E143" s="27">
        <f t="shared" si="18"/>
        <v>32.069999999999993</v>
      </c>
      <c r="F143" s="27">
        <f t="shared" si="18"/>
        <v>123.708</v>
      </c>
      <c r="G143" s="27">
        <f t="shared" si="18"/>
        <v>906.42000000000007</v>
      </c>
      <c r="H143" s="28">
        <f t="shared" si="18"/>
        <v>0.48599999999999999</v>
      </c>
      <c r="I143" s="28">
        <f>SUM(I136:I142)</f>
        <v>0.60000000000000009</v>
      </c>
      <c r="J143" s="28">
        <f t="shared" si="18"/>
        <v>25.43</v>
      </c>
      <c r="K143" s="28">
        <f t="shared" si="18"/>
        <v>457.10444444444443</v>
      </c>
      <c r="L143" s="28">
        <f t="shared" si="18"/>
        <v>718.38</v>
      </c>
    </row>
    <row r="144" spans="1:12" s="125" customFormat="1" ht="15.75" x14ac:dyDescent="0.25">
      <c r="A144" s="160"/>
      <c r="B144" s="136" t="s">
        <v>92</v>
      </c>
      <c r="C144" s="20">
        <f t="shared" ref="C144:L144" si="19">C143+C134</f>
        <v>1672</v>
      </c>
      <c r="D144" s="21">
        <f t="shared" si="19"/>
        <v>51.03</v>
      </c>
      <c r="E144" s="21">
        <f t="shared" si="19"/>
        <v>50.929999999999993</v>
      </c>
      <c r="F144" s="21">
        <f t="shared" si="19"/>
        <v>215.196</v>
      </c>
      <c r="G144" s="21">
        <f t="shared" si="19"/>
        <v>1528.8500000000001</v>
      </c>
      <c r="H144" s="22">
        <f t="shared" si="19"/>
        <v>0.80999999999999994</v>
      </c>
      <c r="I144" s="22">
        <f t="shared" si="19"/>
        <v>0.98950000000000005</v>
      </c>
      <c r="J144" s="22">
        <f t="shared" si="19"/>
        <v>49.589999999999996</v>
      </c>
      <c r="K144" s="22">
        <f t="shared" si="19"/>
        <v>711.35444444444443</v>
      </c>
      <c r="L144" s="22">
        <f t="shared" si="19"/>
        <v>1149.4499999999998</v>
      </c>
    </row>
    <row r="145" spans="1:12" s="125" customFormat="1" ht="15.75" customHeight="1" x14ac:dyDescent="0.25">
      <c r="A145" s="231" t="s">
        <v>93</v>
      </c>
      <c r="B145" s="232"/>
      <c r="C145" s="232"/>
      <c r="D145" s="232"/>
      <c r="E145" s="232"/>
      <c r="F145" s="232"/>
      <c r="G145" s="233"/>
      <c r="H145" s="173"/>
      <c r="I145" s="173"/>
      <c r="J145" s="173"/>
      <c r="K145" s="173"/>
      <c r="L145" s="173"/>
    </row>
    <row r="146" spans="1:12" s="125" customFormat="1" ht="15.75" customHeight="1" x14ac:dyDescent="0.25">
      <c r="A146" s="222" t="s">
        <v>16</v>
      </c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4"/>
    </row>
    <row r="147" spans="1:12" s="125" customFormat="1" ht="31.5" x14ac:dyDescent="0.25">
      <c r="A147" s="177" t="s">
        <v>64</v>
      </c>
      <c r="B147" s="176" t="s">
        <v>94</v>
      </c>
      <c r="C147" s="135">
        <v>200</v>
      </c>
      <c r="D147" s="25">
        <f>5.95/80*150</f>
        <v>11.15625</v>
      </c>
      <c r="E147" s="25">
        <f>5.25/80*200</f>
        <v>13.125</v>
      </c>
      <c r="F147" s="25">
        <f>32.01/80*110</f>
        <v>44.013749999999995</v>
      </c>
      <c r="G147" s="25">
        <f>199/80*120</f>
        <v>298.5</v>
      </c>
      <c r="H147" s="26">
        <f>0.036/80*200+0.06</f>
        <v>0.15</v>
      </c>
      <c r="I147" s="26">
        <f>0.18-0.07</f>
        <v>0.10999999999999999</v>
      </c>
      <c r="J147" s="26">
        <f>8.52-2.5</f>
        <v>6.02</v>
      </c>
      <c r="K147" s="26">
        <f>63.12/80*120</f>
        <v>94.679999999999993</v>
      </c>
      <c r="L147" s="26">
        <f>82.63/80*200+20</f>
        <v>226.57499999999999</v>
      </c>
    </row>
    <row r="148" spans="1:12" s="125" customFormat="1" ht="15.75" x14ac:dyDescent="0.25">
      <c r="A148" s="175" t="s">
        <v>95</v>
      </c>
      <c r="B148" s="176" t="s">
        <v>96</v>
      </c>
      <c r="C148" s="135">
        <v>200</v>
      </c>
      <c r="D148" s="10">
        <f>20.39*0.2</f>
        <v>4.0780000000000003</v>
      </c>
      <c r="E148" s="10">
        <f>17.72*0.2</f>
        <v>3.544</v>
      </c>
      <c r="F148" s="10">
        <f>87.89*0.2</f>
        <v>17.577999999999999</v>
      </c>
      <c r="G148" s="10">
        <f>593*0.2</f>
        <v>118.60000000000001</v>
      </c>
      <c r="H148" s="11">
        <f>0.28*0.2</f>
        <v>5.6000000000000008E-2</v>
      </c>
      <c r="I148" s="11">
        <f>0.94*0.2</f>
        <v>0.188</v>
      </c>
      <c r="J148" s="11">
        <f>7.94*0.2</f>
        <v>1.5880000000000001</v>
      </c>
      <c r="K148" s="11">
        <f>761.1*0.2-36</f>
        <v>116.22</v>
      </c>
      <c r="L148" s="11">
        <f>622.8*0.2</f>
        <v>124.56</v>
      </c>
    </row>
    <row r="149" spans="1:12" s="125" customFormat="1" ht="15.75" x14ac:dyDescent="0.25">
      <c r="A149" s="148" t="s">
        <v>23</v>
      </c>
      <c r="B149" s="8" t="s">
        <v>24</v>
      </c>
      <c r="C149" s="9">
        <v>100</v>
      </c>
      <c r="D149" s="10">
        <v>0.4</v>
      </c>
      <c r="E149" s="10">
        <v>0.2</v>
      </c>
      <c r="F149" s="10">
        <v>9.8000000000000007</v>
      </c>
      <c r="G149" s="10">
        <v>47</v>
      </c>
      <c r="H149" s="11">
        <v>0.04</v>
      </c>
      <c r="I149" s="11">
        <v>0.05</v>
      </c>
      <c r="J149" s="11">
        <f>10-3</f>
        <v>7</v>
      </c>
      <c r="K149" s="11">
        <f>16+10</f>
        <v>26</v>
      </c>
      <c r="L149" s="11">
        <v>11</v>
      </c>
    </row>
    <row r="150" spans="1:12" s="125" customFormat="1" ht="20.25" customHeight="1" x14ac:dyDescent="0.25">
      <c r="A150" s="175"/>
      <c r="B150" s="176" t="s">
        <v>27</v>
      </c>
      <c r="C150" s="135">
        <v>40</v>
      </c>
      <c r="D150" s="10">
        <v>1.32</v>
      </c>
      <c r="E150" s="10">
        <v>0.24</v>
      </c>
      <c r="F150" s="10">
        <v>7.9279999999999999</v>
      </c>
      <c r="G150" s="10">
        <v>39.6</v>
      </c>
      <c r="H150" s="11">
        <v>3.4000000000000002E-2</v>
      </c>
      <c r="I150" s="11"/>
      <c r="J150" s="11">
        <v>0</v>
      </c>
      <c r="K150" s="11">
        <v>5.8</v>
      </c>
      <c r="L150" s="11">
        <v>30</v>
      </c>
    </row>
    <row r="151" spans="1:12" s="125" customFormat="1" ht="15.75" x14ac:dyDescent="0.25">
      <c r="A151" s="179"/>
      <c r="B151" s="136" t="s">
        <v>28</v>
      </c>
      <c r="C151" s="20">
        <f t="shared" ref="C151:L151" si="20">SUM(C147:C150)</f>
        <v>540</v>
      </c>
      <c r="D151" s="27">
        <f t="shared" si="20"/>
        <v>16.954249999999998</v>
      </c>
      <c r="E151" s="27">
        <f t="shared" si="20"/>
        <v>17.108999999999998</v>
      </c>
      <c r="F151" s="27">
        <f>SUM(F147:F150)</f>
        <v>79.319749999999985</v>
      </c>
      <c r="G151" s="27">
        <f t="shared" si="20"/>
        <v>503.70000000000005</v>
      </c>
      <c r="H151" s="28">
        <f t="shared" si="20"/>
        <v>0.28000000000000003</v>
      </c>
      <c r="I151" s="28">
        <f>SUM(I147:I150)</f>
        <v>0.34799999999999998</v>
      </c>
      <c r="J151" s="28">
        <f t="shared" si="20"/>
        <v>14.608000000000001</v>
      </c>
      <c r="K151" s="28">
        <f t="shared" si="20"/>
        <v>242.7</v>
      </c>
      <c r="L151" s="28">
        <f t="shared" si="20"/>
        <v>392.13499999999999</v>
      </c>
    </row>
    <row r="152" spans="1:12" s="125" customFormat="1" ht="15" customHeight="1" x14ac:dyDescent="0.25">
      <c r="A152" s="222" t="s">
        <v>29</v>
      </c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4"/>
    </row>
    <row r="153" spans="1:12" s="125" customFormat="1" ht="15.75" x14ac:dyDescent="0.25">
      <c r="A153" s="146"/>
      <c r="B153" s="8" t="s">
        <v>30</v>
      </c>
      <c r="C153" s="9">
        <v>100</v>
      </c>
      <c r="D153" s="10">
        <v>1.1000000000000001</v>
      </c>
      <c r="E153" s="10">
        <v>0.2</v>
      </c>
      <c r="F153" s="10">
        <v>3.8</v>
      </c>
      <c r="G153" s="10">
        <v>24</v>
      </c>
      <c r="H153" s="11">
        <v>0.06</v>
      </c>
      <c r="I153" s="11">
        <v>0.17</v>
      </c>
      <c r="J153" s="11">
        <v>14.33</v>
      </c>
      <c r="K153" s="11">
        <v>20.329999999999998</v>
      </c>
      <c r="L153" s="11">
        <v>23.4</v>
      </c>
    </row>
    <row r="154" spans="1:12" s="125" customFormat="1" ht="15.75" x14ac:dyDescent="0.25">
      <c r="A154" s="175" t="s">
        <v>97</v>
      </c>
      <c r="B154" s="176" t="s">
        <v>98</v>
      </c>
      <c r="C154" s="135">
        <v>250</v>
      </c>
      <c r="D154" s="25">
        <v>1.48</v>
      </c>
      <c r="E154" s="25">
        <v>4.92</v>
      </c>
      <c r="F154" s="25">
        <v>6.09</v>
      </c>
      <c r="G154" s="25">
        <v>76.25</v>
      </c>
      <c r="H154" s="26">
        <v>0.24</v>
      </c>
      <c r="I154" s="26">
        <v>0.16</v>
      </c>
      <c r="J154" s="26">
        <v>10.88</v>
      </c>
      <c r="K154" s="26">
        <v>103.5</v>
      </c>
      <c r="L154" s="26">
        <v>164.3</v>
      </c>
    </row>
    <row r="155" spans="1:12" s="125" customFormat="1" ht="15.75" x14ac:dyDescent="0.25">
      <c r="A155" s="175" t="s">
        <v>99</v>
      </c>
      <c r="B155" s="176" t="s">
        <v>100</v>
      </c>
      <c r="C155" s="135">
        <v>200</v>
      </c>
      <c r="D155" s="25">
        <v>21.98</v>
      </c>
      <c r="E155" s="25">
        <v>26.78</v>
      </c>
      <c r="F155" s="25">
        <v>34.69</v>
      </c>
      <c r="G155" s="25">
        <v>486.93</v>
      </c>
      <c r="H155" s="26">
        <v>0.06</v>
      </c>
      <c r="I155" s="26">
        <v>0.25</v>
      </c>
      <c r="J155" s="26">
        <v>0.42</v>
      </c>
      <c r="K155" s="26">
        <v>85.64</v>
      </c>
      <c r="L155" s="26">
        <v>333.91</v>
      </c>
    </row>
    <row r="156" spans="1:12" s="125" customFormat="1" ht="15.75" x14ac:dyDescent="0.25">
      <c r="A156" s="175" t="s">
        <v>36</v>
      </c>
      <c r="B156" s="8" t="s">
        <v>37</v>
      </c>
      <c r="C156" s="9">
        <v>200</v>
      </c>
      <c r="D156" s="10">
        <f>0.8*0.2</f>
        <v>0.16000000000000003</v>
      </c>
      <c r="E156" s="10">
        <f>0.8*0.2</f>
        <v>0.16000000000000003</v>
      </c>
      <c r="F156" s="10">
        <f>139*0.2</f>
        <v>27.8</v>
      </c>
      <c r="G156" s="10">
        <f>573*0.2</f>
        <v>114.60000000000001</v>
      </c>
      <c r="H156" s="11">
        <v>0.01</v>
      </c>
      <c r="I156" s="11">
        <f>0.04*0.2</f>
        <v>8.0000000000000002E-3</v>
      </c>
      <c r="J156" s="11">
        <f>4.5*0.2</f>
        <v>0.9</v>
      </c>
      <c r="K156" s="11">
        <f>91+20</f>
        <v>111</v>
      </c>
      <c r="L156" s="11">
        <v>30</v>
      </c>
    </row>
    <row r="157" spans="1:12" s="125" customFormat="1" ht="15.75" x14ac:dyDescent="0.25">
      <c r="A157" s="148" t="s">
        <v>23</v>
      </c>
      <c r="B157" s="8" t="s">
        <v>24</v>
      </c>
      <c r="C157" s="9">
        <v>100</v>
      </c>
      <c r="D157" s="10">
        <v>0.4</v>
      </c>
      <c r="E157" s="10">
        <v>0.2</v>
      </c>
      <c r="F157" s="10">
        <v>9.8000000000000007</v>
      </c>
      <c r="G157" s="10">
        <v>47</v>
      </c>
      <c r="H157" s="11">
        <v>0.04</v>
      </c>
      <c r="I157" s="11">
        <v>0.05</v>
      </c>
      <c r="J157" s="11">
        <f>10-3</f>
        <v>7</v>
      </c>
      <c r="K157" s="11">
        <f>16</f>
        <v>16</v>
      </c>
      <c r="L157" s="11">
        <v>11</v>
      </c>
    </row>
    <row r="158" spans="1:12" s="125" customFormat="1" ht="15.75" x14ac:dyDescent="0.25">
      <c r="A158" s="175"/>
      <c r="B158" s="176" t="s">
        <v>38</v>
      </c>
      <c r="C158" s="135">
        <v>20</v>
      </c>
      <c r="D158" s="18">
        <v>3.2</v>
      </c>
      <c r="E158" s="18">
        <v>0.79</v>
      </c>
      <c r="F158" s="18">
        <v>29.68</v>
      </c>
      <c r="G158" s="18">
        <v>104</v>
      </c>
      <c r="H158" s="19">
        <v>6.2000000000000006E-2</v>
      </c>
      <c r="I158" s="19"/>
      <c r="J158" s="19">
        <v>0.8</v>
      </c>
      <c r="K158" s="19">
        <v>18.044444444444444</v>
      </c>
      <c r="L158" s="19">
        <v>26</v>
      </c>
    </row>
    <row r="159" spans="1:12" s="125" customFormat="1" ht="20.25" customHeight="1" x14ac:dyDescent="0.25">
      <c r="A159" s="175"/>
      <c r="B159" s="176" t="s">
        <v>27</v>
      </c>
      <c r="C159" s="135">
        <v>40</v>
      </c>
      <c r="D159" s="10">
        <v>1.32</v>
      </c>
      <c r="E159" s="10">
        <v>0.24</v>
      </c>
      <c r="F159" s="10">
        <v>7.9279999999999999</v>
      </c>
      <c r="G159" s="10">
        <v>39.6</v>
      </c>
      <c r="H159" s="11">
        <v>3.4000000000000002E-2</v>
      </c>
      <c r="I159" s="11"/>
      <c r="J159" s="11">
        <v>0</v>
      </c>
      <c r="K159" s="11">
        <v>5.8</v>
      </c>
      <c r="L159" s="11">
        <v>30</v>
      </c>
    </row>
    <row r="160" spans="1:12" s="125" customFormat="1" ht="15.75" x14ac:dyDescent="0.25">
      <c r="A160" s="137"/>
      <c r="B160" s="136" t="s">
        <v>39</v>
      </c>
      <c r="C160" s="20">
        <f t="shared" ref="C160:L160" si="21">SUM(C153:C159)</f>
        <v>910</v>
      </c>
      <c r="D160" s="27">
        <f t="shared" si="21"/>
        <v>29.64</v>
      </c>
      <c r="E160" s="27">
        <f t="shared" si="21"/>
        <v>33.290000000000006</v>
      </c>
      <c r="F160" s="27">
        <f t="shared" si="21"/>
        <v>119.78799999999998</v>
      </c>
      <c r="G160" s="27">
        <f t="shared" si="21"/>
        <v>892.38000000000011</v>
      </c>
      <c r="H160" s="28">
        <f t="shared" si="21"/>
        <v>0.50600000000000001</v>
      </c>
      <c r="I160" s="28">
        <f>SUM(I153:I159)</f>
        <v>0.63800000000000012</v>
      </c>
      <c r="J160" s="28">
        <f t="shared" si="21"/>
        <v>34.33</v>
      </c>
      <c r="K160" s="28">
        <f>SUM(K153:K159)</f>
        <v>360.31444444444446</v>
      </c>
      <c r="L160" s="28">
        <f t="shared" si="21"/>
        <v>618.61</v>
      </c>
    </row>
    <row r="161" spans="1:16" s="125" customFormat="1" ht="15.75" x14ac:dyDescent="0.25">
      <c r="A161" s="137"/>
      <c r="B161" s="138" t="s">
        <v>101</v>
      </c>
      <c r="C161" s="20">
        <f t="shared" ref="C161:L161" si="22">C160+C151</f>
        <v>1450</v>
      </c>
      <c r="D161" s="21">
        <f t="shared" si="22"/>
        <v>46.594250000000002</v>
      </c>
      <c r="E161" s="21">
        <f t="shared" si="22"/>
        <v>50.399000000000001</v>
      </c>
      <c r="F161" s="21">
        <f t="shared" si="22"/>
        <v>199.10774999999995</v>
      </c>
      <c r="G161" s="21">
        <f t="shared" si="22"/>
        <v>1396.0800000000002</v>
      </c>
      <c r="H161" s="22">
        <f t="shared" si="22"/>
        <v>0.78600000000000003</v>
      </c>
      <c r="I161" s="22">
        <f t="shared" si="22"/>
        <v>0.9860000000000001</v>
      </c>
      <c r="J161" s="22">
        <f t="shared" si="22"/>
        <v>48.938000000000002</v>
      </c>
      <c r="K161" s="22">
        <f t="shared" si="22"/>
        <v>603.01444444444451</v>
      </c>
      <c r="L161" s="22">
        <f t="shared" si="22"/>
        <v>1010.745</v>
      </c>
    </row>
    <row r="162" spans="1:16" s="125" customFormat="1" ht="15.75" customHeight="1" x14ac:dyDescent="0.25">
      <c r="A162" s="231" t="s">
        <v>102</v>
      </c>
      <c r="B162" s="232"/>
      <c r="C162" s="232"/>
      <c r="D162" s="232"/>
      <c r="E162" s="232"/>
      <c r="F162" s="232"/>
      <c r="G162" s="233"/>
      <c r="H162" s="173"/>
      <c r="I162" s="173"/>
      <c r="J162" s="173"/>
      <c r="K162" s="173"/>
      <c r="L162" s="173"/>
    </row>
    <row r="163" spans="1:16" s="125" customFormat="1" ht="15.75" customHeight="1" x14ac:dyDescent="0.25">
      <c r="A163" s="222" t="s">
        <v>16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4"/>
    </row>
    <row r="164" spans="1:16" s="125" customFormat="1" ht="15.75" x14ac:dyDescent="0.25">
      <c r="A164" s="155"/>
      <c r="B164" s="34" t="s">
        <v>30</v>
      </c>
      <c r="C164" s="33">
        <v>100</v>
      </c>
      <c r="D164" s="11">
        <v>1.1000000000000001</v>
      </c>
      <c r="E164" s="11">
        <v>0.2</v>
      </c>
      <c r="F164" s="11">
        <v>3.8</v>
      </c>
      <c r="G164" s="11">
        <v>24</v>
      </c>
      <c r="H164" s="11">
        <v>0.06</v>
      </c>
      <c r="I164" s="11">
        <v>0.17</v>
      </c>
      <c r="J164" s="11">
        <v>14.33</v>
      </c>
      <c r="K164" s="11">
        <v>20.329999999999998</v>
      </c>
      <c r="L164" s="11">
        <v>23.4</v>
      </c>
    </row>
    <row r="165" spans="1:16" s="125" customFormat="1" ht="15.75" x14ac:dyDescent="0.25">
      <c r="A165" s="153" t="s">
        <v>42</v>
      </c>
      <c r="B165" s="32" t="s">
        <v>43</v>
      </c>
      <c r="C165" s="31">
        <v>140</v>
      </c>
      <c r="D165" s="19">
        <f>16.64-3</f>
        <v>13.64</v>
      </c>
      <c r="E165" s="19">
        <f>20.89-5</f>
        <v>15.89</v>
      </c>
      <c r="F165" s="19">
        <v>19.8</v>
      </c>
      <c r="G165" s="19">
        <f>325-10</f>
        <v>315</v>
      </c>
      <c r="H165" s="19">
        <f>0.25-0.08</f>
        <v>0.16999999999999998</v>
      </c>
      <c r="I165" s="19">
        <v>0.25</v>
      </c>
      <c r="J165" s="19">
        <f>4.78-1.1</f>
        <v>3.68</v>
      </c>
      <c r="K165" s="19">
        <v>142.44999999999999</v>
      </c>
      <c r="L165" s="19">
        <v>283.14999999999998</v>
      </c>
    </row>
    <row r="166" spans="1:16" s="125" customFormat="1" ht="15.75" x14ac:dyDescent="0.25">
      <c r="A166" s="162"/>
      <c r="B166" s="163" t="s">
        <v>103</v>
      </c>
      <c r="C166" s="123">
        <v>30</v>
      </c>
      <c r="D166" s="26">
        <f>5.6*0.3</f>
        <v>1.68</v>
      </c>
      <c r="E166" s="26">
        <f>5*0.3</f>
        <v>1.5</v>
      </c>
      <c r="F166" s="26">
        <f>76.3*0.3</f>
        <v>22.889999999999997</v>
      </c>
      <c r="G166" s="26">
        <f>362*0.3</f>
        <v>108.6</v>
      </c>
      <c r="H166" s="26">
        <f>0.08*0.3</f>
        <v>2.4E-2</v>
      </c>
      <c r="I166" s="26"/>
      <c r="J166" s="26"/>
      <c r="K166" s="26">
        <f>34+15</f>
        <v>49</v>
      </c>
      <c r="L166" s="26">
        <v>41</v>
      </c>
    </row>
    <row r="167" spans="1:16" s="125" customFormat="1" ht="15.75" x14ac:dyDescent="0.25">
      <c r="A167" s="159" t="s">
        <v>45</v>
      </c>
      <c r="B167" s="36" t="s">
        <v>46</v>
      </c>
      <c r="C167" s="37">
        <v>215</v>
      </c>
      <c r="D167" s="48">
        <v>7.0000000000000007E-2</v>
      </c>
      <c r="E167" s="48">
        <v>0.02</v>
      </c>
      <c r="F167" s="48">
        <v>15</v>
      </c>
      <c r="G167" s="48">
        <v>60</v>
      </c>
      <c r="H167" s="48"/>
      <c r="I167" s="48"/>
      <c r="J167" s="48">
        <v>0.03</v>
      </c>
      <c r="K167" s="48">
        <v>11.1</v>
      </c>
      <c r="L167" s="48">
        <v>2.8</v>
      </c>
    </row>
    <row r="168" spans="1:16" s="125" customFormat="1" ht="20.25" customHeight="1" x14ac:dyDescent="0.25">
      <c r="A168" s="162"/>
      <c r="B168" s="163" t="s">
        <v>27</v>
      </c>
      <c r="C168" s="123">
        <v>40</v>
      </c>
      <c r="D168" s="11">
        <v>1.32</v>
      </c>
      <c r="E168" s="11">
        <v>0.24</v>
      </c>
      <c r="F168" s="11">
        <v>7.9279999999999999</v>
      </c>
      <c r="G168" s="11">
        <v>39.6</v>
      </c>
      <c r="H168" s="11">
        <v>3.4000000000000002E-2</v>
      </c>
      <c r="I168" s="11"/>
      <c r="J168" s="11">
        <v>0</v>
      </c>
      <c r="K168" s="11">
        <v>5.8</v>
      </c>
      <c r="L168" s="11">
        <v>30</v>
      </c>
    </row>
    <row r="169" spans="1:16" s="125" customFormat="1" ht="15.75" x14ac:dyDescent="0.25">
      <c r="A169" s="162"/>
      <c r="B169" s="126" t="s">
        <v>28</v>
      </c>
      <c r="C169" s="128">
        <f t="shared" ref="C169:L169" si="23">SUM(C164:C168)</f>
        <v>525</v>
      </c>
      <c r="D169" s="28">
        <f t="shared" si="23"/>
        <v>17.810000000000002</v>
      </c>
      <c r="E169" s="28">
        <f t="shared" si="23"/>
        <v>17.849999999999998</v>
      </c>
      <c r="F169" s="28">
        <f t="shared" si="23"/>
        <v>69.417999999999992</v>
      </c>
      <c r="G169" s="28">
        <f t="shared" si="23"/>
        <v>547.20000000000005</v>
      </c>
      <c r="H169" s="28">
        <f t="shared" si="23"/>
        <v>0.28800000000000003</v>
      </c>
      <c r="I169" s="28">
        <f t="shared" si="23"/>
        <v>0.42000000000000004</v>
      </c>
      <c r="J169" s="28">
        <f t="shared" si="23"/>
        <v>18.040000000000003</v>
      </c>
      <c r="K169" s="28">
        <f t="shared" si="23"/>
        <v>228.67999999999998</v>
      </c>
      <c r="L169" s="28">
        <f t="shared" si="23"/>
        <v>380.34999999999997</v>
      </c>
    </row>
    <row r="170" spans="1:16" s="125" customFormat="1" ht="15.75" x14ac:dyDescent="0.25">
      <c r="A170" s="225" t="s">
        <v>29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7"/>
    </row>
    <row r="171" spans="1:16" s="125" customFormat="1" ht="15.75" x14ac:dyDescent="0.25">
      <c r="A171" s="155"/>
      <c r="B171" s="34" t="s">
        <v>30</v>
      </c>
      <c r="C171" s="33">
        <v>100</v>
      </c>
      <c r="D171" s="11">
        <v>1.1000000000000001</v>
      </c>
      <c r="E171" s="11">
        <v>0.2</v>
      </c>
      <c r="F171" s="11">
        <v>3.8</v>
      </c>
      <c r="G171" s="11">
        <v>24</v>
      </c>
      <c r="H171" s="11">
        <v>0.06</v>
      </c>
      <c r="I171" s="11">
        <v>0.17</v>
      </c>
      <c r="J171" s="11">
        <v>14.33</v>
      </c>
      <c r="K171" s="11">
        <v>20.329999999999998</v>
      </c>
      <c r="L171" s="11">
        <v>23.4</v>
      </c>
    </row>
    <row r="172" spans="1:16" s="125" customFormat="1" ht="15.75" x14ac:dyDescent="0.25">
      <c r="A172" s="162" t="s">
        <v>122</v>
      </c>
      <c r="B172" s="163" t="s">
        <v>123</v>
      </c>
      <c r="C172" s="123">
        <v>250</v>
      </c>
      <c r="D172" s="26">
        <v>7.05</v>
      </c>
      <c r="E172" s="26">
        <v>5.43</v>
      </c>
      <c r="F172" s="26">
        <v>4.3</v>
      </c>
      <c r="G172" s="26">
        <v>62.6</v>
      </c>
      <c r="H172" s="26">
        <f>0.2*0.2+0.1</f>
        <v>0.14000000000000001</v>
      </c>
      <c r="I172" s="26">
        <f>0.14*0.2+0.2</f>
        <v>0.22800000000000001</v>
      </c>
      <c r="J172" s="26">
        <v>5.5</v>
      </c>
      <c r="K172" s="26">
        <f>114*0.2+100</f>
        <v>122.8</v>
      </c>
      <c r="L172" s="26">
        <f>154*0.2+150</f>
        <v>180.8</v>
      </c>
    </row>
    <row r="173" spans="1:16" s="125" customFormat="1" ht="15.75" x14ac:dyDescent="0.25">
      <c r="A173" s="162" t="s">
        <v>124</v>
      </c>
      <c r="B173" s="163" t="s">
        <v>125</v>
      </c>
      <c r="C173" s="123">
        <v>100</v>
      </c>
      <c r="D173" s="26">
        <v>11.83</v>
      </c>
      <c r="E173" s="26">
        <v>16.329999999999998</v>
      </c>
      <c r="F173" s="26">
        <v>5.25</v>
      </c>
      <c r="G173" s="26">
        <v>215.55</v>
      </c>
      <c r="H173" s="26">
        <f>0.05+0.02</f>
        <v>7.0000000000000007E-2</v>
      </c>
      <c r="I173" s="26">
        <f>0.08</f>
        <v>0.08</v>
      </c>
      <c r="J173" s="26">
        <v>0.94</v>
      </c>
      <c r="K173" s="26">
        <v>30.85</v>
      </c>
      <c r="L173" s="26">
        <v>153.1</v>
      </c>
      <c r="P173" s="125">
        <v>30.85</v>
      </c>
    </row>
    <row r="174" spans="1:16" s="125" customFormat="1" ht="15.75" x14ac:dyDescent="0.25">
      <c r="A174" s="162" t="s">
        <v>86</v>
      </c>
      <c r="B174" s="163" t="s">
        <v>87</v>
      </c>
      <c r="C174" s="123">
        <v>180</v>
      </c>
      <c r="D174" s="26">
        <v>4.9800000000000004</v>
      </c>
      <c r="E174" s="26">
        <v>6.44</v>
      </c>
      <c r="F174" s="26">
        <v>44.02</v>
      </c>
      <c r="G174" s="26">
        <v>251.28</v>
      </c>
      <c r="H174" s="26">
        <f>0.17*0.15</f>
        <v>2.5500000000000002E-2</v>
      </c>
      <c r="I174" s="26">
        <f>0.13*0.15</f>
        <v>1.95E-2</v>
      </c>
      <c r="J174" s="26"/>
      <c r="K174" s="26">
        <v>109.2</v>
      </c>
      <c r="L174" s="26">
        <v>121.14</v>
      </c>
    </row>
    <row r="175" spans="1:16" s="125" customFormat="1" ht="15.75" x14ac:dyDescent="0.25">
      <c r="A175" s="162" t="s">
        <v>36</v>
      </c>
      <c r="B175" s="34" t="s">
        <v>37</v>
      </c>
      <c r="C175" s="33">
        <v>200</v>
      </c>
      <c r="D175" s="11">
        <f>0.8*0.2</f>
        <v>0.16000000000000003</v>
      </c>
      <c r="E175" s="11">
        <f>0.8*0.2</f>
        <v>0.16000000000000003</v>
      </c>
      <c r="F175" s="11">
        <f>139*0.2</f>
        <v>27.8</v>
      </c>
      <c r="G175" s="11">
        <f>573*0.2</f>
        <v>114.60000000000001</v>
      </c>
      <c r="H175" s="11">
        <f>0.06*0.2</f>
        <v>1.2E-2</v>
      </c>
      <c r="I175" s="11">
        <f>0.04*0.2</f>
        <v>8.0000000000000002E-3</v>
      </c>
      <c r="J175" s="11">
        <f>4.5*0.2</f>
        <v>0.9</v>
      </c>
      <c r="K175" s="11">
        <v>91</v>
      </c>
      <c r="L175" s="11">
        <f>22*0.2</f>
        <v>4.4000000000000004</v>
      </c>
    </row>
    <row r="176" spans="1:16" s="125" customFormat="1" ht="15.75" x14ac:dyDescent="0.25">
      <c r="A176" s="162"/>
      <c r="B176" s="163" t="s">
        <v>38</v>
      </c>
      <c r="C176" s="123">
        <v>20</v>
      </c>
      <c r="D176" s="19">
        <v>3.2</v>
      </c>
      <c r="E176" s="19">
        <v>0.79</v>
      </c>
      <c r="F176" s="19">
        <v>29.68</v>
      </c>
      <c r="G176" s="19">
        <v>104</v>
      </c>
      <c r="H176" s="19">
        <v>6.2000000000000006E-2</v>
      </c>
      <c r="I176" s="19"/>
      <c r="J176" s="19">
        <v>0.8</v>
      </c>
      <c r="K176" s="19">
        <v>18.044444444444444</v>
      </c>
      <c r="L176" s="19">
        <v>26</v>
      </c>
    </row>
    <row r="177" spans="1:12" s="125" customFormat="1" ht="20.25" customHeight="1" x14ac:dyDescent="0.25">
      <c r="A177" s="162"/>
      <c r="B177" s="163" t="s">
        <v>27</v>
      </c>
      <c r="C177" s="123">
        <v>40</v>
      </c>
      <c r="D177" s="11">
        <v>1.32</v>
      </c>
      <c r="E177" s="11">
        <v>0.24</v>
      </c>
      <c r="F177" s="11">
        <v>7.9279999999999999</v>
      </c>
      <c r="G177" s="11">
        <v>39.6</v>
      </c>
      <c r="H177" s="11">
        <v>3.4000000000000002E-2</v>
      </c>
      <c r="I177" s="11"/>
      <c r="J177" s="11">
        <v>0</v>
      </c>
      <c r="K177" s="11">
        <v>5.8</v>
      </c>
      <c r="L177" s="11">
        <v>30</v>
      </c>
    </row>
    <row r="178" spans="1:12" s="139" customFormat="1" ht="15.75" x14ac:dyDescent="0.25">
      <c r="A178" s="180"/>
      <c r="B178" s="172" t="s">
        <v>39</v>
      </c>
      <c r="C178" s="128">
        <f t="shared" ref="C178:L178" si="24">SUM(C171:C177)</f>
        <v>890</v>
      </c>
      <c r="D178" s="28">
        <f>SUM(D171:D177)</f>
        <v>29.64</v>
      </c>
      <c r="E178" s="28">
        <f t="shared" si="24"/>
        <v>29.589999999999996</v>
      </c>
      <c r="F178" s="28">
        <f t="shared" si="24"/>
        <v>122.77799999999999</v>
      </c>
      <c r="G178" s="28">
        <f t="shared" si="24"/>
        <v>811.63</v>
      </c>
      <c r="H178" s="28">
        <f t="shared" si="24"/>
        <v>0.40350000000000008</v>
      </c>
      <c r="I178" s="28">
        <f t="shared" si="24"/>
        <v>0.50550000000000006</v>
      </c>
      <c r="J178" s="28">
        <f t="shared" si="24"/>
        <v>22.47</v>
      </c>
      <c r="K178" s="28">
        <f t="shared" si="24"/>
        <v>398.02444444444444</v>
      </c>
      <c r="L178" s="28">
        <f t="shared" si="24"/>
        <v>538.83999999999992</v>
      </c>
    </row>
    <row r="179" spans="1:12" s="125" customFormat="1" ht="15.75" x14ac:dyDescent="0.25">
      <c r="A179" s="140"/>
      <c r="B179" s="127" t="s">
        <v>108</v>
      </c>
      <c r="C179" s="128">
        <f>C218+C169</f>
        <v>1565</v>
      </c>
      <c r="D179" s="22">
        <f>D169+D178</f>
        <v>47.45</v>
      </c>
      <c r="E179" s="22">
        <f t="shared" ref="E179:L179" si="25">E169+E178</f>
        <v>47.44</v>
      </c>
      <c r="F179" s="22">
        <f t="shared" si="25"/>
        <v>192.19599999999997</v>
      </c>
      <c r="G179" s="22">
        <f t="shared" si="25"/>
        <v>1358.83</v>
      </c>
      <c r="H179" s="22">
        <f t="shared" si="25"/>
        <v>0.69150000000000011</v>
      </c>
      <c r="I179" s="22">
        <f t="shared" si="25"/>
        <v>0.9255000000000001</v>
      </c>
      <c r="J179" s="22">
        <f t="shared" si="25"/>
        <v>40.510000000000005</v>
      </c>
      <c r="K179" s="22">
        <f t="shared" si="25"/>
        <v>626.70444444444445</v>
      </c>
      <c r="L179" s="22">
        <f t="shared" si="25"/>
        <v>919.18999999999983</v>
      </c>
    </row>
    <row r="180" spans="1:12" s="125" customFormat="1" ht="15.75" customHeight="1" x14ac:dyDescent="0.25">
      <c r="A180" s="228" t="s">
        <v>109</v>
      </c>
      <c r="B180" s="229"/>
      <c r="C180" s="229"/>
      <c r="D180" s="229"/>
      <c r="E180" s="229"/>
      <c r="F180" s="229"/>
      <c r="G180" s="230"/>
      <c r="H180" s="173"/>
      <c r="I180" s="173"/>
      <c r="J180" s="173"/>
      <c r="K180" s="173"/>
      <c r="L180" s="173"/>
    </row>
    <row r="181" spans="1:12" s="125" customFormat="1" ht="15.75" customHeight="1" x14ac:dyDescent="0.25">
      <c r="A181" s="225" t="s">
        <v>16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7"/>
    </row>
    <row r="182" spans="1:12" s="125" customFormat="1" ht="15.75" x14ac:dyDescent="0.25">
      <c r="A182" s="155"/>
      <c r="B182" s="34" t="s">
        <v>30</v>
      </c>
      <c r="C182" s="33">
        <v>100</v>
      </c>
      <c r="D182" s="11">
        <v>1.1000000000000001</v>
      </c>
      <c r="E182" s="11">
        <v>0.2</v>
      </c>
      <c r="F182" s="11">
        <v>3.8</v>
      </c>
      <c r="G182" s="11">
        <v>24</v>
      </c>
      <c r="H182" s="11">
        <v>0.06</v>
      </c>
      <c r="I182" s="11">
        <v>0.17</v>
      </c>
      <c r="J182" s="11">
        <v>14.33</v>
      </c>
      <c r="K182" s="11">
        <v>20.329999999999998</v>
      </c>
      <c r="L182" s="11">
        <v>23.4</v>
      </c>
    </row>
    <row r="183" spans="1:12" s="125" customFormat="1" ht="15.75" x14ac:dyDescent="0.25">
      <c r="A183" s="161" t="s">
        <v>19</v>
      </c>
      <c r="B183" s="142" t="s">
        <v>20</v>
      </c>
      <c r="C183" s="141">
        <v>15</v>
      </c>
      <c r="D183" s="19">
        <v>4</v>
      </c>
      <c r="E183" s="19">
        <v>3.9</v>
      </c>
      <c r="F183" s="19">
        <v>0</v>
      </c>
      <c r="G183" s="19">
        <v>54</v>
      </c>
      <c r="H183" s="19">
        <v>5.0000000000000001E-3</v>
      </c>
      <c r="I183" s="19">
        <v>0.09</v>
      </c>
      <c r="J183" s="19">
        <v>0.1</v>
      </c>
      <c r="K183" s="19">
        <f>132-50</f>
        <v>82</v>
      </c>
      <c r="L183" s="19">
        <v>75</v>
      </c>
    </row>
    <row r="184" spans="1:12" s="125" customFormat="1" ht="31.5" x14ac:dyDescent="0.25">
      <c r="A184" s="162" t="s">
        <v>110</v>
      </c>
      <c r="B184" s="163" t="s">
        <v>111</v>
      </c>
      <c r="C184" s="123">
        <v>100</v>
      </c>
      <c r="D184" s="19">
        <v>6.47</v>
      </c>
      <c r="E184" s="19">
        <v>9.7200000000000006</v>
      </c>
      <c r="F184" s="19">
        <v>18.05</v>
      </c>
      <c r="G184" s="19">
        <v>167.77</v>
      </c>
      <c r="H184" s="19">
        <v>17.77</v>
      </c>
      <c r="I184" s="19"/>
      <c r="J184" s="19">
        <v>0.8</v>
      </c>
      <c r="K184" s="19">
        <v>97.72</v>
      </c>
      <c r="L184" s="19">
        <v>175.96</v>
      </c>
    </row>
    <row r="185" spans="1:12" s="125" customFormat="1" ht="23.25" customHeight="1" x14ac:dyDescent="0.25">
      <c r="A185" s="162" t="s">
        <v>68</v>
      </c>
      <c r="B185" s="163" t="s">
        <v>69</v>
      </c>
      <c r="C185" s="123">
        <v>180</v>
      </c>
      <c r="D185" s="11">
        <v>6.62</v>
      </c>
      <c r="E185" s="11">
        <v>5.42</v>
      </c>
      <c r="F185" s="11">
        <v>31.74</v>
      </c>
      <c r="G185" s="11">
        <v>202.14</v>
      </c>
      <c r="H185" s="11">
        <f>0.17*0.15</f>
        <v>2.5500000000000002E-2</v>
      </c>
      <c r="I185" s="11">
        <v>0.22</v>
      </c>
      <c r="J185" s="11"/>
      <c r="K185" s="11">
        <v>31.1</v>
      </c>
      <c r="L185" s="11">
        <v>56.6</v>
      </c>
    </row>
    <row r="186" spans="1:12" s="125" customFormat="1" ht="15.75" x14ac:dyDescent="0.25">
      <c r="A186" s="158" t="s">
        <v>25</v>
      </c>
      <c r="B186" s="36" t="s">
        <v>26</v>
      </c>
      <c r="C186" s="37">
        <v>222</v>
      </c>
      <c r="D186" s="19">
        <v>0.13</v>
      </c>
      <c r="E186" s="19">
        <v>0.02</v>
      </c>
      <c r="F186" s="19">
        <v>15.2</v>
      </c>
      <c r="G186" s="19">
        <v>62</v>
      </c>
      <c r="H186" s="19"/>
      <c r="I186" s="19"/>
      <c r="J186" s="19">
        <v>2.83</v>
      </c>
      <c r="K186" s="19">
        <v>14.2</v>
      </c>
      <c r="L186" s="19">
        <v>4.4000000000000004</v>
      </c>
    </row>
    <row r="187" spans="1:12" s="125" customFormat="1" ht="20.25" customHeight="1" x14ac:dyDescent="0.25">
      <c r="A187" s="162"/>
      <c r="B187" s="163" t="s">
        <v>27</v>
      </c>
      <c r="C187" s="123">
        <v>40</v>
      </c>
      <c r="D187" s="11">
        <v>1.32</v>
      </c>
      <c r="E187" s="11">
        <v>0.24</v>
      </c>
      <c r="F187" s="11">
        <v>7.9279999999999999</v>
      </c>
      <c r="G187" s="11">
        <v>39.6</v>
      </c>
      <c r="H187" s="11">
        <v>3.4000000000000002E-2</v>
      </c>
      <c r="I187" s="11"/>
      <c r="J187" s="11">
        <v>0</v>
      </c>
      <c r="K187" s="11">
        <v>5.8</v>
      </c>
      <c r="L187" s="11">
        <v>30</v>
      </c>
    </row>
    <row r="188" spans="1:12" s="125" customFormat="1" ht="15.75" x14ac:dyDescent="0.25">
      <c r="A188" s="162"/>
      <c r="B188" s="126" t="s">
        <v>28</v>
      </c>
      <c r="C188" s="128">
        <f t="shared" ref="C188:L188" si="26">SUM(C182:C187)</f>
        <v>657</v>
      </c>
      <c r="D188" s="28">
        <f>SUM(D182:D187)</f>
        <v>19.64</v>
      </c>
      <c r="E188" s="28">
        <f t="shared" si="26"/>
        <v>19.5</v>
      </c>
      <c r="F188" s="28">
        <f t="shared" si="26"/>
        <v>76.718000000000004</v>
      </c>
      <c r="G188" s="28">
        <f t="shared" si="26"/>
        <v>549.51</v>
      </c>
      <c r="H188" s="28">
        <f t="shared" si="26"/>
        <v>17.894500000000001</v>
      </c>
      <c r="I188" s="28">
        <f>SUM(I182:I187)</f>
        <v>0.48</v>
      </c>
      <c r="J188" s="28">
        <f t="shared" si="26"/>
        <v>18.060000000000002</v>
      </c>
      <c r="K188" s="28">
        <f t="shared" si="26"/>
        <v>251.15</v>
      </c>
      <c r="L188" s="28">
        <f t="shared" si="26"/>
        <v>365.36</v>
      </c>
    </row>
    <row r="189" spans="1:12" s="125" customFormat="1" ht="15.75" x14ac:dyDescent="0.25">
      <c r="A189" s="225" t="s">
        <v>29</v>
      </c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7"/>
    </row>
    <row r="190" spans="1:12" s="125" customFormat="1" ht="15.75" x14ac:dyDescent="0.25">
      <c r="A190" s="155"/>
      <c r="B190" s="34" t="s">
        <v>30</v>
      </c>
      <c r="C190" s="33">
        <v>100</v>
      </c>
      <c r="D190" s="11">
        <v>1.1000000000000001</v>
      </c>
      <c r="E190" s="11">
        <v>0.2</v>
      </c>
      <c r="F190" s="11">
        <v>3.2</v>
      </c>
      <c r="G190" s="11">
        <v>24</v>
      </c>
      <c r="H190" s="11">
        <v>0.06</v>
      </c>
      <c r="I190" s="11">
        <v>0.17</v>
      </c>
      <c r="J190" s="11">
        <v>14.33</v>
      </c>
      <c r="K190" s="11">
        <v>20.329999999999998</v>
      </c>
      <c r="L190" s="11">
        <v>23.4</v>
      </c>
    </row>
    <row r="191" spans="1:12" s="125" customFormat="1" ht="15.75" x14ac:dyDescent="0.25">
      <c r="A191" s="162" t="s">
        <v>112</v>
      </c>
      <c r="B191" s="163" t="s">
        <v>113</v>
      </c>
      <c r="C191" s="123">
        <v>250</v>
      </c>
      <c r="D191" s="11">
        <v>2.02</v>
      </c>
      <c r="E191" s="11">
        <v>10.18</v>
      </c>
      <c r="F191" s="11">
        <v>11.98</v>
      </c>
      <c r="G191" s="11">
        <v>214.5</v>
      </c>
      <c r="H191" s="11">
        <v>0.09</v>
      </c>
      <c r="I191" s="11">
        <v>0.12</v>
      </c>
      <c r="J191" s="11">
        <v>8.3800000000000008</v>
      </c>
      <c r="K191" s="11">
        <v>150.75</v>
      </c>
      <c r="L191" s="11">
        <v>266.69</v>
      </c>
    </row>
    <row r="192" spans="1:12" s="125" customFormat="1" ht="15.75" x14ac:dyDescent="0.25">
      <c r="A192" s="162" t="s">
        <v>114</v>
      </c>
      <c r="B192" s="163" t="s">
        <v>115</v>
      </c>
      <c r="C192" s="123">
        <v>200</v>
      </c>
      <c r="D192" s="26">
        <v>23.3</v>
      </c>
      <c r="E192" s="26">
        <v>19.5</v>
      </c>
      <c r="F192" s="26">
        <v>76.58</v>
      </c>
      <c r="G192" s="26">
        <v>483</v>
      </c>
      <c r="H192" s="26">
        <v>0.25</v>
      </c>
      <c r="I192" s="26">
        <f>0.25</f>
        <v>0.25</v>
      </c>
      <c r="J192" s="26"/>
      <c r="K192" s="26">
        <f>28.69+70</f>
        <v>98.69</v>
      </c>
      <c r="L192" s="26">
        <f>180.22+20</f>
        <v>200.22</v>
      </c>
    </row>
    <row r="193" spans="1:12" s="125" customFormat="1" ht="15.75" x14ac:dyDescent="0.25">
      <c r="A193" s="162" t="s">
        <v>36</v>
      </c>
      <c r="B193" s="34" t="s">
        <v>37</v>
      </c>
      <c r="C193" s="33">
        <v>200</v>
      </c>
      <c r="D193" s="11">
        <f>0.8*0.2</f>
        <v>0.16000000000000003</v>
      </c>
      <c r="E193" s="11">
        <f>0.8*0.2</f>
        <v>0.16000000000000003</v>
      </c>
      <c r="F193" s="11">
        <f>139*0.2</f>
        <v>27.8</v>
      </c>
      <c r="G193" s="11">
        <f>573*0.2</f>
        <v>114.60000000000001</v>
      </c>
      <c r="H193" s="11">
        <f>0.06*0.2</f>
        <v>1.2E-2</v>
      </c>
      <c r="I193" s="11">
        <f>0.04*0.2</f>
        <v>8.0000000000000002E-3</v>
      </c>
      <c r="J193" s="11">
        <f>4.5*0.2</f>
        <v>0.9</v>
      </c>
      <c r="K193" s="11">
        <v>91</v>
      </c>
      <c r="L193" s="11">
        <f>22*0.2</f>
        <v>4.4000000000000004</v>
      </c>
    </row>
    <row r="194" spans="1:12" s="125" customFormat="1" ht="15.75" x14ac:dyDescent="0.25">
      <c r="A194" s="154" t="s">
        <v>23</v>
      </c>
      <c r="B194" s="34" t="s">
        <v>24</v>
      </c>
      <c r="C194" s="33">
        <v>100</v>
      </c>
      <c r="D194" s="11">
        <v>0.4</v>
      </c>
      <c r="E194" s="11">
        <v>0.2</v>
      </c>
      <c r="F194" s="11">
        <v>9.8000000000000007</v>
      </c>
      <c r="G194" s="11">
        <v>47</v>
      </c>
      <c r="H194" s="11">
        <v>0.04</v>
      </c>
      <c r="I194" s="11">
        <v>0.05</v>
      </c>
      <c r="J194" s="11">
        <f>10-3</f>
        <v>7</v>
      </c>
      <c r="K194" s="11">
        <f>16+10</f>
        <v>26</v>
      </c>
      <c r="L194" s="11">
        <v>11</v>
      </c>
    </row>
    <row r="195" spans="1:12" s="125" customFormat="1" ht="15.75" x14ac:dyDescent="0.25">
      <c r="A195" s="162"/>
      <c r="B195" s="163" t="s">
        <v>38</v>
      </c>
      <c r="C195" s="123">
        <v>20</v>
      </c>
      <c r="D195" s="19">
        <v>3.2</v>
      </c>
      <c r="E195" s="19">
        <v>0.79</v>
      </c>
      <c r="F195" s="19">
        <v>29.68</v>
      </c>
      <c r="G195" s="19">
        <v>104</v>
      </c>
      <c r="H195" s="19">
        <v>6.2000000000000006E-2</v>
      </c>
      <c r="I195" s="19"/>
      <c r="J195" s="19">
        <v>0.8</v>
      </c>
      <c r="K195" s="19">
        <v>18.044444444444444</v>
      </c>
      <c r="L195" s="19">
        <v>26</v>
      </c>
    </row>
    <row r="196" spans="1:12" s="125" customFormat="1" ht="20.25" customHeight="1" x14ac:dyDescent="0.25">
      <c r="A196" s="162"/>
      <c r="B196" s="163" t="s">
        <v>27</v>
      </c>
      <c r="C196" s="123">
        <v>40</v>
      </c>
      <c r="D196" s="11">
        <v>1.32</v>
      </c>
      <c r="E196" s="11">
        <v>0.24</v>
      </c>
      <c r="F196" s="11">
        <v>7.9279999999999999</v>
      </c>
      <c r="G196" s="11">
        <v>39.6</v>
      </c>
      <c r="H196" s="11">
        <v>3.4000000000000002E-2</v>
      </c>
      <c r="I196" s="11"/>
      <c r="J196" s="11">
        <v>0</v>
      </c>
      <c r="K196" s="11">
        <v>5.8</v>
      </c>
      <c r="L196" s="11">
        <v>30</v>
      </c>
    </row>
    <row r="197" spans="1:12" s="125" customFormat="1" ht="15.75" x14ac:dyDescent="0.25">
      <c r="A197" s="162"/>
      <c r="B197" s="126" t="s">
        <v>39</v>
      </c>
      <c r="C197" s="128">
        <f t="shared" ref="C197:L197" si="27">SUM(C190:C196)</f>
        <v>910</v>
      </c>
      <c r="D197" s="28">
        <f>SUM(D190:D196)</f>
        <v>31.5</v>
      </c>
      <c r="E197" s="28">
        <f t="shared" si="27"/>
        <v>31.269999999999996</v>
      </c>
      <c r="F197" s="28">
        <f t="shared" si="27"/>
        <v>166.96799999999999</v>
      </c>
      <c r="G197" s="28">
        <f t="shared" si="27"/>
        <v>1026.7</v>
      </c>
      <c r="H197" s="28">
        <f>SUM(H190:H196)</f>
        <v>0.54800000000000004</v>
      </c>
      <c r="I197" s="28">
        <f>SUM(I190:I196)</f>
        <v>0.59800000000000009</v>
      </c>
      <c r="J197" s="28">
        <f t="shared" si="27"/>
        <v>31.41</v>
      </c>
      <c r="K197" s="28">
        <f t="shared" si="27"/>
        <v>410.61444444444442</v>
      </c>
      <c r="L197" s="28">
        <f t="shared" si="27"/>
        <v>561.70999999999992</v>
      </c>
    </row>
    <row r="198" spans="1:12" s="125" customFormat="1" ht="15.75" x14ac:dyDescent="0.25">
      <c r="A198" s="162"/>
      <c r="B198" s="127" t="s">
        <v>116</v>
      </c>
      <c r="C198" s="128">
        <f t="shared" ref="C198:L198" si="28">C197+C188</f>
        <v>1567</v>
      </c>
      <c r="D198" s="22">
        <f t="shared" si="28"/>
        <v>51.14</v>
      </c>
      <c r="E198" s="22">
        <f t="shared" si="28"/>
        <v>50.769999999999996</v>
      </c>
      <c r="F198" s="22">
        <f t="shared" si="28"/>
        <v>243.68599999999998</v>
      </c>
      <c r="G198" s="22">
        <f t="shared" si="28"/>
        <v>1576.21</v>
      </c>
      <c r="H198" s="22">
        <f t="shared" si="28"/>
        <v>18.442500000000003</v>
      </c>
      <c r="I198" s="22">
        <f t="shared" si="28"/>
        <v>1.0780000000000001</v>
      </c>
      <c r="J198" s="22">
        <f t="shared" si="28"/>
        <v>49.47</v>
      </c>
      <c r="K198" s="22">
        <f t="shared" si="28"/>
        <v>661.76444444444439</v>
      </c>
      <c r="L198" s="22">
        <f t="shared" si="28"/>
        <v>927.06999999999994</v>
      </c>
    </row>
    <row r="199" spans="1:12" s="125" customFormat="1" ht="15.75" customHeight="1" x14ac:dyDescent="0.25">
      <c r="A199" s="228" t="s">
        <v>117</v>
      </c>
      <c r="B199" s="229"/>
      <c r="C199" s="229"/>
      <c r="D199" s="229"/>
      <c r="E199" s="229"/>
      <c r="F199" s="229"/>
      <c r="G199" s="230"/>
      <c r="H199" s="173"/>
      <c r="I199" s="173"/>
      <c r="J199" s="173"/>
      <c r="K199" s="173"/>
      <c r="L199" s="173"/>
    </row>
    <row r="200" spans="1:12" s="125" customFormat="1" ht="15.75" customHeight="1" x14ac:dyDescent="0.25">
      <c r="A200" s="225" t="s">
        <v>16</v>
      </c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7"/>
    </row>
    <row r="201" spans="1:12" s="125" customFormat="1" ht="15.75" x14ac:dyDescent="0.25">
      <c r="A201" s="162" t="s">
        <v>118</v>
      </c>
      <c r="B201" s="163" t="s">
        <v>119</v>
      </c>
      <c r="C201" s="123">
        <v>200</v>
      </c>
      <c r="D201" s="11">
        <v>6.08</v>
      </c>
      <c r="E201" s="11">
        <f>11.18-9</f>
        <v>2.1799999999999997</v>
      </c>
      <c r="F201" s="11">
        <f>33.48-4</f>
        <v>29.479999999999997</v>
      </c>
      <c r="G201" s="11">
        <f>260-120</f>
        <v>140</v>
      </c>
      <c r="H201" s="11">
        <v>0.1</v>
      </c>
      <c r="I201" s="11"/>
      <c r="J201" s="11">
        <f>0.96+4</f>
        <v>4.96</v>
      </c>
      <c r="K201" s="11">
        <f>133.38-100</f>
        <v>33.379999999999995</v>
      </c>
      <c r="L201" s="11">
        <f>156.72-40</f>
        <v>116.72</v>
      </c>
    </row>
    <row r="202" spans="1:12" s="50" customFormat="1" ht="15.75" x14ac:dyDescent="0.2">
      <c r="A202" s="166" t="s">
        <v>21</v>
      </c>
      <c r="B202" s="167" t="s">
        <v>120</v>
      </c>
      <c r="C202" s="42">
        <v>50</v>
      </c>
      <c r="D202" s="15">
        <v>2.91</v>
      </c>
      <c r="E202" s="15">
        <f>10.69-9</f>
        <v>1.6899999999999995</v>
      </c>
      <c r="F202" s="15">
        <f>21.05-5</f>
        <v>16.05</v>
      </c>
      <c r="G202" s="15">
        <f>192-80</f>
        <v>112</v>
      </c>
      <c r="H202" s="15">
        <v>0.04</v>
      </c>
      <c r="I202" s="15" t="s">
        <v>121</v>
      </c>
      <c r="J202" s="15">
        <v>0.03</v>
      </c>
      <c r="K202" s="15">
        <v>9.1999999999999993</v>
      </c>
      <c r="L202" s="15">
        <v>28.1</v>
      </c>
    </row>
    <row r="203" spans="1:12" s="125" customFormat="1" ht="15.75" x14ac:dyDescent="0.25">
      <c r="A203" s="155">
        <v>14</v>
      </c>
      <c r="B203" s="34" t="s">
        <v>18</v>
      </c>
      <c r="C203" s="33">
        <v>10</v>
      </c>
      <c r="D203" s="11">
        <v>0.08</v>
      </c>
      <c r="E203" s="11">
        <f>7.25-1</f>
        <v>6.25</v>
      </c>
      <c r="F203" s="11">
        <v>0.13</v>
      </c>
      <c r="G203" s="11">
        <v>66.09</v>
      </c>
      <c r="H203" s="11"/>
      <c r="I203" s="11">
        <v>0.01</v>
      </c>
      <c r="J203" s="11"/>
      <c r="K203" s="11">
        <v>2.4</v>
      </c>
      <c r="L203" s="11">
        <v>3</v>
      </c>
    </row>
    <row r="204" spans="1:12" s="125" customFormat="1" ht="15.75" x14ac:dyDescent="0.25">
      <c r="A204" s="161" t="s">
        <v>19</v>
      </c>
      <c r="B204" s="142" t="s">
        <v>20</v>
      </c>
      <c r="C204" s="141">
        <v>15</v>
      </c>
      <c r="D204" s="19">
        <v>4</v>
      </c>
      <c r="E204" s="19">
        <v>3.9</v>
      </c>
      <c r="F204" s="19">
        <v>0</v>
      </c>
      <c r="G204" s="19">
        <v>54</v>
      </c>
      <c r="H204" s="19">
        <v>5.0000000000000001E-3</v>
      </c>
      <c r="I204" s="19">
        <v>0.09</v>
      </c>
      <c r="J204" s="19">
        <v>0.1</v>
      </c>
      <c r="K204" s="19">
        <f>132-50</f>
        <v>82</v>
      </c>
      <c r="L204" s="19">
        <v>75</v>
      </c>
    </row>
    <row r="205" spans="1:12" s="125" customFormat="1" ht="15.75" x14ac:dyDescent="0.25">
      <c r="A205" s="162" t="s">
        <v>95</v>
      </c>
      <c r="B205" s="163" t="s">
        <v>96</v>
      </c>
      <c r="C205" s="123">
        <v>200</v>
      </c>
      <c r="D205" s="11">
        <f>20.39*0.2</f>
        <v>4.0780000000000003</v>
      </c>
      <c r="E205" s="11">
        <f>17.72*0.2</f>
        <v>3.544</v>
      </c>
      <c r="F205" s="11">
        <f>87.89*0.2</f>
        <v>17.577999999999999</v>
      </c>
      <c r="G205" s="11">
        <f>593*0.2</f>
        <v>118.60000000000001</v>
      </c>
      <c r="H205" s="11">
        <f>0.28*0.2</f>
        <v>5.6000000000000008E-2</v>
      </c>
      <c r="I205" s="11">
        <f>0.94*0.2</f>
        <v>0.188</v>
      </c>
      <c r="J205" s="11">
        <f>7.94*0.2</f>
        <v>1.5880000000000001</v>
      </c>
      <c r="K205" s="11">
        <f>761.1*0.2-36</f>
        <v>116.22</v>
      </c>
      <c r="L205" s="11">
        <f>622.8*0.2</f>
        <v>124.56</v>
      </c>
    </row>
    <row r="206" spans="1:12" s="125" customFormat="1" ht="15.75" x14ac:dyDescent="0.25">
      <c r="A206" s="154" t="s">
        <v>23</v>
      </c>
      <c r="B206" s="34" t="s">
        <v>24</v>
      </c>
      <c r="C206" s="33">
        <v>100</v>
      </c>
      <c r="D206" s="11">
        <v>0.4</v>
      </c>
      <c r="E206" s="11">
        <v>0.2</v>
      </c>
      <c r="F206" s="11">
        <v>9.8000000000000007</v>
      </c>
      <c r="G206" s="11">
        <v>47</v>
      </c>
      <c r="H206" s="11">
        <v>0.04</v>
      </c>
      <c r="I206" s="11">
        <v>0.05</v>
      </c>
      <c r="J206" s="11">
        <f>10-3</f>
        <v>7</v>
      </c>
      <c r="K206" s="11">
        <f>16+10</f>
        <v>26</v>
      </c>
      <c r="L206" s="11">
        <v>11</v>
      </c>
    </row>
    <row r="207" spans="1:12" s="125" customFormat="1" ht="20.25" customHeight="1" x14ac:dyDescent="0.25">
      <c r="A207" s="162"/>
      <c r="B207" s="163" t="s">
        <v>27</v>
      </c>
      <c r="C207" s="123">
        <v>40</v>
      </c>
      <c r="D207" s="11">
        <v>1.32</v>
      </c>
      <c r="E207" s="11">
        <v>0.24</v>
      </c>
      <c r="F207" s="11">
        <v>7.9279999999999999</v>
      </c>
      <c r="G207" s="11">
        <v>39.6</v>
      </c>
      <c r="H207" s="11">
        <v>3.4000000000000002E-2</v>
      </c>
      <c r="I207" s="11"/>
      <c r="J207" s="11">
        <v>0</v>
      </c>
      <c r="K207" s="11">
        <v>5.8</v>
      </c>
      <c r="L207" s="11">
        <v>30</v>
      </c>
    </row>
    <row r="208" spans="1:12" s="125" customFormat="1" ht="15.75" x14ac:dyDescent="0.25">
      <c r="A208" s="162"/>
      <c r="B208" s="126" t="s">
        <v>28</v>
      </c>
      <c r="C208" s="128">
        <f t="shared" ref="C208:L208" si="29">SUM(C201:C207)</f>
        <v>615</v>
      </c>
      <c r="D208" s="28">
        <f t="shared" si="29"/>
        <v>18.867999999999999</v>
      </c>
      <c r="E208" s="28">
        <f t="shared" si="29"/>
        <v>18.003999999999998</v>
      </c>
      <c r="F208" s="28">
        <f t="shared" si="29"/>
        <v>80.965999999999994</v>
      </c>
      <c r="G208" s="28">
        <f t="shared" si="29"/>
        <v>577.29000000000008</v>
      </c>
      <c r="H208" s="28">
        <f t="shared" si="29"/>
        <v>0.27500000000000002</v>
      </c>
      <c r="I208" s="28">
        <f>SUM(I201:I207)</f>
        <v>0.33799999999999997</v>
      </c>
      <c r="J208" s="28">
        <f t="shared" si="29"/>
        <v>13.678000000000001</v>
      </c>
      <c r="K208" s="28">
        <f t="shared" si="29"/>
        <v>275</v>
      </c>
      <c r="L208" s="28">
        <f t="shared" si="29"/>
        <v>388.38</v>
      </c>
    </row>
    <row r="209" spans="1:12" s="125" customFormat="1" ht="15.75" x14ac:dyDescent="0.25">
      <c r="A209" s="222" t="s">
        <v>29</v>
      </c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4"/>
    </row>
    <row r="210" spans="1:12" s="125" customFormat="1" ht="15.75" x14ac:dyDescent="0.25">
      <c r="A210" s="155"/>
      <c r="B210" s="34" t="s">
        <v>30</v>
      </c>
      <c r="C210" s="33">
        <v>100</v>
      </c>
      <c r="D210" s="11">
        <v>1.1000000000000001</v>
      </c>
      <c r="E210" s="11">
        <v>0.2</v>
      </c>
      <c r="F210" s="11">
        <v>3.8</v>
      </c>
      <c r="G210" s="11">
        <v>24</v>
      </c>
      <c r="H210" s="11">
        <v>0.06</v>
      </c>
      <c r="I210" s="11">
        <v>0.17</v>
      </c>
      <c r="J210" s="11">
        <v>14.33</v>
      </c>
      <c r="K210" s="11">
        <v>20.329999999999998</v>
      </c>
      <c r="L210" s="11">
        <v>23.4</v>
      </c>
    </row>
    <row r="211" spans="1:12" s="125" customFormat="1" ht="31.5" x14ac:dyDescent="0.25">
      <c r="A211" s="162" t="s">
        <v>76</v>
      </c>
      <c r="B211" s="163" t="s">
        <v>77</v>
      </c>
      <c r="C211" s="123">
        <v>250</v>
      </c>
      <c r="D211" s="26">
        <v>5.49</v>
      </c>
      <c r="E211" s="26">
        <v>5.27</v>
      </c>
      <c r="F211" s="26">
        <v>26.54</v>
      </c>
      <c r="G211" s="26">
        <v>188.25</v>
      </c>
      <c r="H211" s="26">
        <v>0.14000000000000001</v>
      </c>
      <c r="I211" s="26">
        <v>0.11</v>
      </c>
      <c r="J211" s="26">
        <v>6.83</v>
      </c>
      <c r="K211" s="26">
        <v>122.68</v>
      </c>
      <c r="L211" s="26">
        <v>123.1</v>
      </c>
    </row>
    <row r="212" spans="1:12" s="124" customFormat="1" ht="32.25" customHeight="1" x14ac:dyDescent="0.2">
      <c r="A212" s="171" t="s">
        <v>104</v>
      </c>
      <c r="B212" s="181" t="s">
        <v>105</v>
      </c>
      <c r="C212" s="123">
        <v>150</v>
      </c>
      <c r="D212" s="11">
        <v>14.36</v>
      </c>
      <c r="E212" s="11">
        <f>5.38/80*150+3</f>
        <v>13.0875</v>
      </c>
      <c r="F212" s="11">
        <f>9.03/80*150</f>
        <v>16.931249999999999</v>
      </c>
      <c r="G212" s="11">
        <v>228.13</v>
      </c>
      <c r="H212" s="11">
        <f>0.04</f>
        <v>0.04</v>
      </c>
      <c r="I212" s="11">
        <f>0.07/80*150+0.02</f>
        <v>0.15125</v>
      </c>
      <c r="J212" s="11">
        <f>0.17</f>
        <v>0.17</v>
      </c>
      <c r="K212" s="11">
        <v>126.12</v>
      </c>
      <c r="L212" s="11">
        <v>296.26</v>
      </c>
    </row>
    <row r="213" spans="1:12" s="125" customFormat="1" ht="15.75" x14ac:dyDescent="0.25">
      <c r="A213" s="162" t="s">
        <v>106</v>
      </c>
      <c r="B213" s="163" t="s">
        <v>107</v>
      </c>
      <c r="C213" s="123">
        <v>180</v>
      </c>
      <c r="D213" s="51">
        <v>3.43</v>
      </c>
      <c r="E213" s="51">
        <v>10.18</v>
      </c>
      <c r="F213" s="51">
        <v>33.619999999999997</v>
      </c>
      <c r="G213" s="51">
        <v>170.82</v>
      </c>
      <c r="H213" s="51">
        <v>0.11</v>
      </c>
      <c r="I213" s="51">
        <v>0.06</v>
      </c>
      <c r="J213" s="51"/>
      <c r="K213" s="51">
        <v>16.2</v>
      </c>
      <c r="L213" s="51">
        <f>247.8*0.15+20</f>
        <v>57.17</v>
      </c>
    </row>
    <row r="214" spans="1:12" s="125" customFormat="1" ht="15.75" x14ac:dyDescent="0.25">
      <c r="A214" s="162" t="s">
        <v>36</v>
      </c>
      <c r="B214" s="34" t="s">
        <v>37</v>
      </c>
      <c r="C214" s="33">
        <v>200</v>
      </c>
      <c r="D214" s="11">
        <f>0.8*0.2</f>
        <v>0.16000000000000003</v>
      </c>
      <c r="E214" s="11">
        <f>0.8*0.2</f>
        <v>0.16000000000000003</v>
      </c>
      <c r="F214" s="11">
        <f>139*0.2</f>
        <v>27.8</v>
      </c>
      <c r="G214" s="11">
        <f>573*0.2</f>
        <v>114.60000000000001</v>
      </c>
      <c r="H214" s="11">
        <f>0.06*0.2</f>
        <v>1.2E-2</v>
      </c>
      <c r="I214" s="11">
        <f>0.04*0.2</f>
        <v>8.0000000000000002E-3</v>
      </c>
      <c r="J214" s="11">
        <f>4.5*0.2</f>
        <v>0.9</v>
      </c>
      <c r="K214" s="11">
        <v>91</v>
      </c>
      <c r="L214" s="11">
        <f>22*0.2</f>
        <v>4.4000000000000004</v>
      </c>
    </row>
    <row r="215" spans="1:12" s="125" customFormat="1" ht="15.75" x14ac:dyDescent="0.25">
      <c r="A215" s="154" t="s">
        <v>23</v>
      </c>
      <c r="B215" s="34" t="s">
        <v>24</v>
      </c>
      <c r="C215" s="33">
        <v>100</v>
      </c>
      <c r="D215" s="11">
        <v>0.4</v>
      </c>
      <c r="E215" s="11">
        <v>0.2</v>
      </c>
      <c r="F215" s="11">
        <v>9.8000000000000007</v>
      </c>
      <c r="G215" s="11">
        <v>47</v>
      </c>
      <c r="H215" s="11">
        <v>0.04</v>
      </c>
      <c r="I215" s="11">
        <v>0.05</v>
      </c>
      <c r="J215" s="11">
        <f>10-3</f>
        <v>7</v>
      </c>
      <c r="K215" s="11">
        <f>16+10</f>
        <v>26</v>
      </c>
      <c r="L215" s="11">
        <v>11</v>
      </c>
    </row>
    <row r="216" spans="1:12" s="125" customFormat="1" ht="15.75" x14ac:dyDescent="0.25">
      <c r="A216" s="162"/>
      <c r="B216" s="163" t="s">
        <v>38</v>
      </c>
      <c r="C216" s="123">
        <v>20</v>
      </c>
      <c r="D216" s="19">
        <v>3.2</v>
      </c>
      <c r="E216" s="19">
        <v>0.79</v>
      </c>
      <c r="F216" s="19">
        <v>29.68</v>
      </c>
      <c r="G216" s="19">
        <v>104</v>
      </c>
      <c r="H216" s="19">
        <v>6.2000000000000006E-2</v>
      </c>
      <c r="I216" s="19"/>
      <c r="J216" s="19">
        <v>0.8</v>
      </c>
      <c r="K216" s="19">
        <v>18.044444444444444</v>
      </c>
      <c r="L216" s="19">
        <v>26</v>
      </c>
    </row>
    <row r="217" spans="1:12" s="125" customFormat="1" ht="20.25" customHeight="1" x14ac:dyDescent="0.25">
      <c r="A217" s="162"/>
      <c r="B217" s="163" t="s">
        <v>27</v>
      </c>
      <c r="C217" s="123">
        <v>40</v>
      </c>
      <c r="D217" s="11">
        <v>1.32</v>
      </c>
      <c r="E217" s="11">
        <v>0.24</v>
      </c>
      <c r="F217" s="11">
        <v>7.9279999999999999</v>
      </c>
      <c r="G217" s="11">
        <v>39.6</v>
      </c>
      <c r="H217" s="11">
        <v>3.4000000000000002E-2</v>
      </c>
      <c r="I217" s="11"/>
      <c r="J217" s="11">
        <v>0</v>
      </c>
      <c r="K217" s="11">
        <v>5.8</v>
      </c>
      <c r="L217" s="11">
        <v>30</v>
      </c>
    </row>
    <row r="218" spans="1:12" s="125" customFormat="1" ht="15.75" x14ac:dyDescent="0.25">
      <c r="A218" s="162"/>
      <c r="B218" s="126" t="s">
        <v>39</v>
      </c>
      <c r="C218" s="128">
        <f>SUM(C210:C217)</f>
        <v>1040</v>
      </c>
      <c r="D218" s="28">
        <f t="shared" ref="D218:L218" si="30">SUM(D210:D217)</f>
        <v>29.459999999999997</v>
      </c>
      <c r="E218" s="28">
        <f t="shared" si="30"/>
        <v>30.127499999999998</v>
      </c>
      <c r="F218" s="28">
        <f t="shared" si="30"/>
        <v>156.09924999999998</v>
      </c>
      <c r="G218" s="28">
        <f t="shared" si="30"/>
        <v>916.40000000000009</v>
      </c>
      <c r="H218" s="28">
        <f t="shared" si="30"/>
        <v>0.498</v>
      </c>
      <c r="I218" s="28">
        <f>SUM(I210:I217)</f>
        <v>0.54925000000000002</v>
      </c>
      <c r="J218" s="28">
        <f t="shared" si="30"/>
        <v>30.03</v>
      </c>
      <c r="K218" s="28">
        <f t="shared" si="30"/>
        <v>426.17444444444442</v>
      </c>
      <c r="L218" s="28">
        <f t="shared" si="30"/>
        <v>571.32999999999993</v>
      </c>
    </row>
    <row r="219" spans="1:12" s="143" customFormat="1" ht="15.75" x14ac:dyDescent="0.25">
      <c r="A219" s="162"/>
      <c r="B219" s="127" t="s">
        <v>126</v>
      </c>
      <c r="C219" s="128">
        <f>C218+C208</f>
        <v>1655</v>
      </c>
      <c r="D219" s="22">
        <f>D218+D208</f>
        <v>48.327999999999996</v>
      </c>
      <c r="E219" s="22">
        <f t="shared" ref="E219:L219" si="31">E218+E208</f>
        <v>48.131499999999996</v>
      </c>
      <c r="F219" s="22">
        <f t="shared" si="31"/>
        <v>237.06524999999999</v>
      </c>
      <c r="G219" s="22">
        <f t="shared" si="31"/>
        <v>1493.69</v>
      </c>
      <c r="H219" s="22">
        <f t="shared" si="31"/>
        <v>0.77300000000000002</v>
      </c>
      <c r="I219" s="22">
        <f t="shared" si="31"/>
        <v>0.88724999999999998</v>
      </c>
      <c r="J219" s="22">
        <f t="shared" si="31"/>
        <v>43.707999999999998</v>
      </c>
      <c r="K219" s="22">
        <f t="shared" si="31"/>
        <v>701.17444444444436</v>
      </c>
      <c r="L219" s="22">
        <f t="shared" si="31"/>
        <v>959.70999999999992</v>
      </c>
    </row>
    <row r="220" spans="1:12" s="132" customFormat="1" ht="15.75" hidden="1" x14ac:dyDescent="0.25">
      <c r="A220" s="212" t="s">
        <v>81</v>
      </c>
      <c r="B220" s="212"/>
      <c r="C220" s="129">
        <f t="shared" ref="C220:L220" si="32">SUM(C134,C151,C169,C188,C208)/5</f>
        <v>623.79999999999995</v>
      </c>
      <c r="D220" s="130">
        <f t="shared" si="32"/>
        <v>18.604449999999996</v>
      </c>
      <c r="E220" s="130">
        <f t="shared" si="32"/>
        <v>18.264599999999994</v>
      </c>
      <c r="F220" s="130">
        <f t="shared" si="32"/>
        <v>79.581950000000006</v>
      </c>
      <c r="G220" s="130">
        <f t="shared" si="32"/>
        <v>560.02600000000007</v>
      </c>
      <c r="H220" s="131">
        <f t="shared" si="32"/>
        <v>3.8122999999999996</v>
      </c>
      <c r="I220" s="131">
        <f t="shared" si="32"/>
        <v>0.39510000000000006</v>
      </c>
      <c r="J220" s="131">
        <f t="shared" si="32"/>
        <v>17.709200000000003</v>
      </c>
      <c r="K220" s="131">
        <f t="shared" si="32"/>
        <v>250.35599999999999</v>
      </c>
      <c r="L220" s="131">
        <f t="shared" si="32"/>
        <v>391.459</v>
      </c>
    </row>
    <row r="221" spans="1:12" s="132" customFormat="1" ht="15.75" hidden="1" x14ac:dyDescent="0.25">
      <c r="A221" s="213" t="s">
        <v>82</v>
      </c>
      <c r="B221" s="213"/>
      <c r="C221" s="133">
        <f t="shared" ref="C221:L221" si="33">SUM(C143,C160,C218,C197,C178)/5</f>
        <v>928</v>
      </c>
      <c r="D221" s="134">
        <f t="shared" si="33"/>
        <v>30.303999999999995</v>
      </c>
      <c r="E221" s="134">
        <f t="shared" si="33"/>
        <v>31.269500000000001</v>
      </c>
      <c r="F221" s="134">
        <f t="shared" si="33"/>
        <v>137.86824999999999</v>
      </c>
      <c r="G221" s="134">
        <f t="shared" si="33"/>
        <v>910.70600000000013</v>
      </c>
      <c r="H221" s="134">
        <f t="shared" si="33"/>
        <v>0.48830000000000007</v>
      </c>
      <c r="I221" s="134">
        <f t="shared" si="33"/>
        <v>0.57815000000000005</v>
      </c>
      <c r="J221" s="134">
        <f t="shared" si="33"/>
        <v>28.733999999999998</v>
      </c>
      <c r="K221" s="134">
        <f t="shared" si="33"/>
        <v>410.44644444444441</v>
      </c>
      <c r="L221" s="134">
        <f t="shared" si="33"/>
        <v>601.774</v>
      </c>
    </row>
    <row r="222" spans="1:12" s="4" customFormat="1" ht="15.75" x14ac:dyDescent="0.25">
      <c r="A222" s="52"/>
      <c r="B222" s="53"/>
      <c r="C222" s="54"/>
      <c r="D222" s="55"/>
      <c r="E222" s="55"/>
      <c r="F222" s="55"/>
      <c r="G222" s="55"/>
      <c r="H222" s="22"/>
      <c r="I222" s="22"/>
      <c r="J222" s="22"/>
      <c r="K222" s="22"/>
      <c r="L222" s="22"/>
    </row>
    <row r="223" spans="1:12" s="4" customFormat="1" ht="15.75" x14ac:dyDescent="0.25">
      <c r="A223" s="52"/>
      <c r="B223" s="182"/>
      <c r="C223" s="183"/>
      <c r="D223" s="184"/>
      <c r="E223" s="184"/>
      <c r="F223" s="184"/>
      <c r="G223" s="184"/>
      <c r="H223" s="185"/>
      <c r="I223" s="185"/>
      <c r="J223" s="185"/>
      <c r="K223" s="185"/>
      <c r="L223" s="185"/>
    </row>
    <row r="224" spans="1:12" s="2" customFormat="1" ht="15.75" x14ac:dyDescent="0.25">
      <c r="A224" s="56"/>
      <c r="B224" s="199" t="s">
        <v>127</v>
      </c>
      <c r="C224" s="200"/>
      <c r="D224" s="57">
        <f t="shared" ref="D224:L224" si="34">D208+D188+D169+D151+D134+D112+D92+D74+D55+D37</f>
        <v>192.54849999999999</v>
      </c>
      <c r="E224" s="57">
        <f t="shared" si="34"/>
        <v>190.42799999999994</v>
      </c>
      <c r="F224" s="57">
        <f t="shared" si="34"/>
        <v>806.25774999999999</v>
      </c>
      <c r="G224" s="57">
        <f t="shared" si="34"/>
        <v>5907.88</v>
      </c>
      <c r="H224" s="58">
        <f t="shared" si="34"/>
        <v>20.543500000000009</v>
      </c>
      <c r="I224" s="58">
        <f t="shared" si="34"/>
        <v>4.2354999999999992</v>
      </c>
      <c r="J224" s="58">
        <f t="shared" si="34"/>
        <v>173.54599999999999</v>
      </c>
      <c r="K224" s="58">
        <f t="shared" si="34"/>
        <v>2603.7277777777781</v>
      </c>
      <c r="L224" s="59">
        <f t="shared" si="34"/>
        <v>3998.9399999999996</v>
      </c>
    </row>
    <row r="225" spans="1:12" s="4" customFormat="1" ht="15.75" x14ac:dyDescent="0.25">
      <c r="A225" s="56"/>
      <c r="B225" s="201" t="s">
        <v>128</v>
      </c>
      <c r="C225" s="202"/>
      <c r="D225" s="57">
        <f>D224/10</f>
        <v>19.254849999999998</v>
      </c>
      <c r="E225" s="57">
        <f t="shared" ref="E225:L225" si="35">E224/10</f>
        <v>19.042799999999993</v>
      </c>
      <c r="F225" s="57">
        <f t="shared" si="35"/>
        <v>80.625775000000004</v>
      </c>
      <c r="G225" s="57">
        <f>G224/10</f>
        <v>590.78800000000001</v>
      </c>
      <c r="H225" s="58">
        <f t="shared" si="35"/>
        <v>2.0543500000000008</v>
      </c>
      <c r="I225" s="58">
        <f t="shared" si="35"/>
        <v>0.42354999999999993</v>
      </c>
      <c r="J225" s="58">
        <f t="shared" si="35"/>
        <v>17.354599999999998</v>
      </c>
      <c r="K225" s="58">
        <f t="shared" si="35"/>
        <v>260.3727777777778</v>
      </c>
      <c r="L225" s="59">
        <f t="shared" si="35"/>
        <v>399.89399999999995</v>
      </c>
    </row>
    <row r="226" spans="1:12" s="4" customFormat="1" ht="16.5" thickBot="1" x14ac:dyDescent="0.3">
      <c r="A226" s="209" t="s">
        <v>129</v>
      </c>
      <c r="B226" s="194"/>
      <c r="C226" s="195"/>
      <c r="D226" s="60">
        <f t="shared" ref="D226:L226" si="36">D225/D233</f>
        <v>0.25006298701298696</v>
      </c>
      <c r="E226" s="60">
        <f t="shared" si="36"/>
        <v>0.24104810126582268</v>
      </c>
      <c r="F226" s="60">
        <f t="shared" si="36"/>
        <v>0.2406739552238806</v>
      </c>
      <c r="G226" s="60">
        <f t="shared" si="36"/>
        <v>0.25139914893617021</v>
      </c>
      <c r="H226" s="60">
        <f t="shared" si="36"/>
        <v>1.7119583333333341</v>
      </c>
      <c r="I226" s="60">
        <f t="shared" si="36"/>
        <v>0.30253571428571424</v>
      </c>
      <c r="J226" s="60">
        <f t="shared" si="36"/>
        <v>0.2892433333333333</v>
      </c>
      <c r="K226" s="60">
        <f t="shared" si="36"/>
        <v>0.23670252525252528</v>
      </c>
      <c r="L226" s="61">
        <f t="shared" si="36"/>
        <v>0.24235999999999996</v>
      </c>
    </row>
    <row r="227" spans="1:12" s="2" customFormat="1" ht="15.75" x14ac:dyDescent="0.25">
      <c r="A227" s="62"/>
      <c r="B227" s="207" t="s">
        <v>130</v>
      </c>
      <c r="C227" s="208"/>
      <c r="D227" s="63">
        <f t="shared" ref="D227:L227" si="37">D178+D197+D218+D160+D143+D121+D102+D83+D64+D46</f>
        <v>297.56880000000001</v>
      </c>
      <c r="E227" s="63">
        <f t="shared" si="37"/>
        <v>305.63449999999989</v>
      </c>
      <c r="F227" s="63">
        <f t="shared" si="37"/>
        <v>1394.394</v>
      </c>
      <c r="G227" s="63">
        <f t="shared" si="37"/>
        <v>9035.44</v>
      </c>
      <c r="H227" s="64">
        <f t="shared" si="37"/>
        <v>4.8357999999999999</v>
      </c>
      <c r="I227" s="64">
        <f t="shared" si="37"/>
        <v>7.5277500000000011</v>
      </c>
      <c r="J227" s="64">
        <f t="shared" si="37"/>
        <v>298.8</v>
      </c>
      <c r="K227" s="64">
        <f t="shared" si="37"/>
        <v>4111.8979999999992</v>
      </c>
      <c r="L227" s="65">
        <f t="shared" si="37"/>
        <v>6070.4699999999993</v>
      </c>
    </row>
    <row r="228" spans="1:12" s="4" customFormat="1" ht="15.75" x14ac:dyDescent="0.25">
      <c r="A228" s="66"/>
      <c r="B228" s="210" t="s">
        <v>131</v>
      </c>
      <c r="C228" s="211"/>
      <c r="D228" s="67">
        <f>D227/10</f>
        <v>29.756880000000002</v>
      </c>
      <c r="E228" s="67">
        <f t="shared" ref="E228:L228" si="38">E227/10</f>
        <v>30.563449999999989</v>
      </c>
      <c r="F228" s="67">
        <f t="shared" si="38"/>
        <v>139.43940000000001</v>
      </c>
      <c r="G228" s="67">
        <f>G227/10</f>
        <v>903.5440000000001</v>
      </c>
      <c r="H228" s="68">
        <f t="shared" si="38"/>
        <v>0.48358000000000001</v>
      </c>
      <c r="I228" s="68">
        <f t="shared" ref="I228" si="39">I227/10</f>
        <v>0.75277500000000008</v>
      </c>
      <c r="J228" s="68">
        <f t="shared" si="38"/>
        <v>29.880000000000003</v>
      </c>
      <c r="K228" s="68">
        <f t="shared" si="38"/>
        <v>411.18979999999993</v>
      </c>
      <c r="L228" s="69">
        <f t="shared" si="38"/>
        <v>607.04699999999991</v>
      </c>
    </row>
    <row r="229" spans="1:12" s="4" customFormat="1" ht="16.5" thickBot="1" x14ac:dyDescent="0.3">
      <c r="A229" s="193" t="s">
        <v>129</v>
      </c>
      <c r="B229" s="194"/>
      <c r="C229" s="195"/>
      <c r="D229" s="60">
        <f t="shared" ref="D229:L229" si="40">D228/D233</f>
        <v>0.38645298701298703</v>
      </c>
      <c r="E229" s="60">
        <f t="shared" si="40"/>
        <v>0.3868791139240505</v>
      </c>
      <c r="F229" s="60">
        <f t="shared" si="40"/>
        <v>0.41623701492537313</v>
      </c>
      <c r="G229" s="60">
        <f t="shared" si="40"/>
        <v>0.38448680851063832</v>
      </c>
      <c r="H229" s="60">
        <f t="shared" si="40"/>
        <v>0.40298333333333336</v>
      </c>
      <c r="I229" s="60">
        <f t="shared" si="40"/>
        <v>0.53769642857142863</v>
      </c>
      <c r="J229" s="60">
        <f t="shared" si="40"/>
        <v>0.49800000000000005</v>
      </c>
      <c r="K229" s="60">
        <f t="shared" si="40"/>
        <v>0.37380890909090903</v>
      </c>
      <c r="L229" s="70">
        <f t="shared" si="40"/>
        <v>0.36790727272727269</v>
      </c>
    </row>
    <row r="230" spans="1:12" s="2" customFormat="1" ht="15.75" x14ac:dyDescent="0.25">
      <c r="A230" s="62"/>
      <c r="B230" s="206" t="s">
        <v>132</v>
      </c>
      <c r="C230" s="206"/>
      <c r="D230" s="71">
        <f>D227+D224</f>
        <v>490.1173</v>
      </c>
      <c r="E230" s="71">
        <f>E227+E224</f>
        <v>496.06249999999983</v>
      </c>
      <c r="F230" s="71">
        <f>F227+F224</f>
        <v>2200.65175</v>
      </c>
      <c r="G230" s="71">
        <f>G227+G224</f>
        <v>14943.32</v>
      </c>
      <c r="H230" s="72">
        <f>H227+H224</f>
        <v>25.379300000000008</v>
      </c>
      <c r="I230" s="72"/>
      <c r="J230" s="72">
        <f t="shared" ref="J230:L230" si="41">J227+J224</f>
        <v>472.346</v>
      </c>
      <c r="K230" s="72">
        <f t="shared" si="41"/>
        <v>6715.6257777777773</v>
      </c>
      <c r="L230" s="73">
        <f t="shared" si="41"/>
        <v>10069.41</v>
      </c>
    </row>
    <row r="231" spans="1:12" s="4" customFormat="1" ht="15.75" x14ac:dyDescent="0.25">
      <c r="A231" s="74"/>
      <c r="B231" s="203" t="s">
        <v>133</v>
      </c>
      <c r="C231" s="203"/>
      <c r="D231" s="75">
        <f>D230/10</f>
        <v>49.01173</v>
      </c>
      <c r="E231" s="75">
        <f t="shared" ref="E231:L231" si="42">E230/10</f>
        <v>49.606249999999982</v>
      </c>
      <c r="F231" s="75">
        <f t="shared" si="42"/>
        <v>220.06517500000001</v>
      </c>
      <c r="G231" s="75">
        <f t="shared" si="42"/>
        <v>1494.3319999999999</v>
      </c>
      <c r="H231" s="76">
        <f t="shared" si="42"/>
        <v>2.5379300000000007</v>
      </c>
      <c r="I231" s="76"/>
      <c r="J231" s="76">
        <f t="shared" si="42"/>
        <v>47.2346</v>
      </c>
      <c r="K231" s="76">
        <f t="shared" si="42"/>
        <v>671.56257777777773</v>
      </c>
      <c r="L231" s="77">
        <f t="shared" si="42"/>
        <v>1006.941</v>
      </c>
    </row>
    <row r="232" spans="1:12" s="4" customFormat="1" ht="16.5" thickBot="1" x14ac:dyDescent="0.3">
      <c r="A232" s="204" t="s">
        <v>129</v>
      </c>
      <c r="B232" s="205"/>
      <c r="C232" s="205"/>
      <c r="D232" s="78">
        <f>D231/D233</f>
        <v>0.63651597402597404</v>
      </c>
      <c r="E232" s="78">
        <f>E231/E233</f>
        <v>0.62792721518987316</v>
      </c>
      <c r="F232" s="78">
        <f>F231/F233</f>
        <v>0.65691097014925381</v>
      </c>
      <c r="G232" s="78">
        <f>G231/G233</f>
        <v>0.63588595744680843</v>
      </c>
      <c r="H232" s="79">
        <f>H231/H233</f>
        <v>2.1149416666666672</v>
      </c>
      <c r="I232" s="79"/>
      <c r="J232" s="79">
        <f t="shared" ref="J232:L232" si="43">J231/J233</f>
        <v>0.78724333333333329</v>
      </c>
      <c r="K232" s="79">
        <f t="shared" si="43"/>
        <v>0.61051143434343436</v>
      </c>
      <c r="L232" s="80">
        <f t="shared" si="43"/>
        <v>0.61026727272727277</v>
      </c>
    </row>
    <row r="233" spans="1:12" s="83" customFormat="1" ht="41.25" customHeight="1" thickBot="1" x14ac:dyDescent="0.25">
      <c r="A233" s="196" t="s">
        <v>134</v>
      </c>
      <c r="B233" s="197"/>
      <c r="C233" s="198"/>
      <c r="D233" s="81">
        <v>77</v>
      </c>
      <c r="E233" s="81">
        <v>79</v>
      </c>
      <c r="F233" s="81">
        <v>335</v>
      </c>
      <c r="G233" s="81">
        <v>2350</v>
      </c>
      <c r="H233" s="81">
        <v>1.2</v>
      </c>
      <c r="I233" s="81">
        <v>1.4</v>
      </c>
      <c r="J233" s="81">
        <v>60</v>
      </c>
      <c r="K233" s="81">
        <v>1100</v>
      </c>
      <c r="L233" s="82">
        <v>1650</v>
      </c>
    </row>
    <row r="234" spans="1:12" s="4" customFormat="1" ht="15.75" x14ac:dyDescent="0.25">
      <c r="A234" s="84"/>
      <c r="B234" s="187" t="s">
        <v>135</v>
      </c>
      <c r="C234" s="188"/>
      <c r="D234" s="85"/>
      <c r="E234" s="85"/>
      <c r="F234" s="86" t="s">
        <v>136</v>
      </c>
      <c r="G234" s="87"/>
      <c r="H234" s="88"/>
      <c r="I234" s="88"/>
      <c r="J234" s="88"/>
      <c r="K234" s="88"/>
      <c r="L234" s="88"/>
    </row>
    <row r="235" spans="1:12" s="4" customFormat="1" ht="15.75" x14ac:dyDescent="0.25">
      <c r="A235" s="84"/>
      <c r="B235" s="189"/>
      <c r="C235" s="190"/>
      <c r="D235" s="89" t="s">
        <v>137</v>
      </c>
      <c r="E235" s="89">
        <f>G225/G233</f>
        <v>0.25139914893617021</v>
      </c>
      <c r="F235" s="89" t="s">
        <v>138</v>
      </c>
      <c r="G235" s="87"/>
      <c r="H235" s="88"/>
      <c r="I235" s="88"/>
      <c r="J235" s="88"/>
      <c r="K235" s="88"/>
      <c r="L235" s="88"/>
    </row>
    <row r="236" spans="1:12" s="4" customFormat="1" ht="15.75" x14ac:dyDescent="0.25">
      <c r="A236" s="84"/>
      <c r="B236" s="191"/>
      <c r="C236" s="192"/>
      <c r="D236" s="90" t="s">
        <v>29</v>
      </c>
      <c r="E236" s="90">
        <f>G228/G233</f>
        <v>0.38448680851063832</v>
      </c>
      <c r="F236" s="90" t="s">
        <v>139</v>
      </c>
      <c r="G236" s="87"/>
      <c r="H236" s="88"/>
      <c r="I236" s="88"/>
      <c r="J236" s="88"/>
      <c r="K236" s="88"/>
      <c r="L236" s="88"/>
    </row>
  </sheetData>
  <mergeCells count="58">
    <mergeCell ref="A29:L29"/>
    <mergeCell ref="A26:G26"/>
    <mergeCell ref="A170:L170"/>
    <mergeCell ref="A163:L163"/>
    <mergeCell ref="A162:G162"/>
    <mergeCell ref="A48:G48"/>
    <mergeCell ref="A38:L38"/>
    <mergeCell ref="A3:B3"/>
    <mergeCell ref="F10:K23"/>
    <mergeCell ref="A4:D4"/>
    <mergeCell ref="A1:B1"/>
    <mergeCell ref="A2:B2"/>
    <mergeCell ref="I3:L3"/>
    <mergeCell ref="H27:J27"/>
    <mergeCell ref="K27:L27"/>
    <mergeCell ref="A27:A28"/>
    <mergeCell ref="B27:B28"/>
    <mergeCell ref="C27:C28"/>
    <mergeCell ref="D27:F27"/>
    <mergeCell ref="G27:G28"/>
    <mergeCell ref="A66:G66"/>
    <mergeCell ref="A49:L49"/>
    <mergeCell ref="A56:L56"/>
    <mergeCell ref="A126:L126"/>
    <mergeCell ref="A135:L135"/>
    <mergeCell ref="A125:G125"/>
    <mergeCell ref="A105:L105"/>
    <mergeCell ref="A113:L113"/>
    <mergeCell ref="A104:G104"/>
    <mergeCell ref="A86:L86"/>
    <mergeCell ref="A93:L93"/>
    <mergeCell ref="A85:G85"/>
    <mergeCell ref="A67:L67"/>
    <mergeCell ref="A75:L75"/>
    <mergeCell ref="A123:B123"/>
    <mergeCell ref="A124:B124"/>
    <mergeCell ref="A145:G145"/>
    <mergeCell ref="A232:C232"/>
    <mergeCell ref="B230:C230"/>
    <mergeCell ref="B227:C227"/>
    <mergeCell ref="A226:C226"/>
    <mergeCell ref="A146:L146"/>
    <mergeCell ref="A152:L152"/>
    <mergeCell ref="B228:C228"/>
    <mergeCell ref="A220:B220"/>
    <mergeCell ref="A221:B221"/>
    <mergeCell ref="A209:L209"/>
    <mergeCell ref="A200:L200"/>
    <mergeCell ref="A199:G199"/>
    <mergeCell ref="A189:L189"/>
    <mergeCell ref="A181:L181"/>
    <mergeCell ref="A180:G180"/>
    <mergeCell ref="B234:C236"/>
    <mergeCell ref="A229:C229"/>
    <mergeCell ref="A233:C233"/>
    <mergeCell ref="B224:C224"/>
    <mergeCell ref="B225:C225"/>
    <mergeCell ref="B231:C231"/>
  </mergeCells>
  <conditionalFormatting sqref="D37 D55 D74 D92 D112 D134 D151 D169 D188 D208">
    <cfRule type="cellIs" dxfId="22" priority="27" stopIfTrue="1" operator="notBetween">
      <formula>15.4</formula>
      <formula>19.25</formula>
    </cfRule>
  </conditionalFormatting>
  <conditionalFormatting sqref="D46 D64 D83 D102 D121 D143 D160 D218 D178">
    <cfRule type="cellIs" dxfId="21" priority="26" stopIfTrue="1" operator="notBetween">
      <formula>23.1</formula>
      <formula>26.95</formula>
    </cfRule>
  </conditionalFormatting>
  <conditionalFormatting sqref="E37 E55 E74 E92 E112 E134 E151 E169 E188 E208">
    <cfRule type="cellIs" dxfId="20" priority="25" stopIfTrue="1" operator="notBetween">
      <formula>15.8</formula>
      <formula>19.75</formula>
    </cfRule>
  </conditionalFormatting>
  <conditionalFormatting sqref="E46 E64 E83 E102 E121 E143 E160 E218 E197 E178">
    <cfRule type="cellIs" dxfId="19" priority="24" stopIfTrue="1" operator="notBetween">
      <formula>23.7</formula>
      <formula>27.65</formula>
    </cfRule>
  </conditionalFormatting>
  <conditionalFormatting sqref="F37 F55 F74 F92 F112 F134 F151 F169 F188 F208">
    <cfRule type="cellIs" dxfId="18" priority="23" stopIfTrue="1" operator="notBetween">
      <formula>67</formula>
      <formula>83.75</formula>
    </cfRule>
  </conditionalFormatting>
  <conditionalFormatting sqref="F46 F64 F83 F102 F121 F143 F160 F218 F197 F178">
    <cfRule type="cellIs" dxfId="17" priority="22" stopIfTrue="1" operator="notBetween">
      <formula>100.5</formula>
      <formula>117.25</formula>
    </cfRule>
  </conditionalFormatting>
  <conditionalFormatting sqref="G37 G55 G74 G92 G112 G134 G151 G169 G188 G208">
    <cfRule type="cellIs" dxfId="16" priority="20" stopIfTrue="1" operator="notBetween">
      <formula>470</formula>
      <formula>587.5</formula>
    </cfRule>
  </conditionalFormatting>
  <conditionalFormatting sqref="G46 G64 G83 G102 G121 G143 G160 G218 G197 G178">
    <cfRule type="cellIs" dxfId="15" priority="19" stopIfTrue="1" operator="notBetween">
      <formula>705</formula>
      <formula>822.5</formula>
    </cfRule>
  </conditionalFormatting>
  <conditionalFormatting sqref="H37 H55 H74 H92 H112 H134 H151 H169 H188 H208">
    <cfRule type="cellIs" dxfId="14" priority="18" stopIfTrue="1" operator="notBetween">
      <formula>0.24</formula>
      <formula>0.3</formula>
    </cfRule>
  </conditionalFormatting>
  <conditionalFormatting sqref="I37 I74 I92 I112 I134 I151 I169 I188 I208">
    <cfRule type="cellIs" dxfId="13" priority="16" stopIfTrue="1" operator="notBetween">
      <formula>0.28</formula>
      <formula>0.35</formula>
    </cfRule>
  </conditionalFormatting>
  <conditionalFormatting sqref="H46 H64 H83 H102 H121 H143 H160 H218 H197 H178">
    <cfRule type="cellIs" dxfId="12" priority="15" stopIfTrue="1" operator="notBetween">
      <formula>0.36</formula>
      <formula>0.42</formula>
    </cfRule>
  </conditionalFormatting>
  <conditionalFormatting sqref="I46 I64 I83 I102 I121 I143 I160 I197 I178">
    <cfRule type="cellIs" dxfId="11" priority="14" stopIfTrue="1" operator="notBetween">
      <formula>0.42</formula>
      <formula>0.49</formula>
    </cfRule>
  </conditionalFormatting>
  <conditionalFormatting sqref="J37 J55 J74 J92 J112 J134 J151 J169 J188 J208">
    <cfRule type="cellIs" dxfId="10" priority="13" stopIfTrue="1" operator="notBetween">
      <formula>12</formula>
      <formula>15</formula>
    </cfRule>
  </conditionalFormatting>
  <conditionalFormatting sqref="J46 J64 J83 J102 J121 J143 J160 J218 J197 J178">
    <cfRule type="cellIs" dxfId="9" priority="12" stopIfTrue="1" operator="notBetween">
      <formula>18</formula>
      <formula>21</formula>
    </cfRule>
  </conditionalFormatting>
  <conditionalFormatting sqref="K37 K55 K74 K92 K112 K134 K151 K169 K188 K208">
    <cfRule type="cellIs" dxfId="8" priority="11" stopIfTrue="1" operator="notBetween">
      <formula>220</formula>
      <formula>275</formula>
    </cfRule>
  </conditionalFormatting>
  <conditionalFormatting sqref="L37 L55 L74 L92 L112 L134 L151 L169 L188 L208">
    <cfRule type="cellIs" dxfId="7" priority="10" stopIfTrue="1" operator="notBetween">
      <formula>330</formula>
      <formula>412.5</formula>
    </cfRule>
  </conditionalFormatting>
  <conditionalFormatting sqref="K46 K64 K83 K102 K121 K143 K218 K197 K178">
    <cfRule type="cellIs" dxfId="6" priority="9" stopIfTrue="1" operator="notBetween">
      <formula>330</formula>
      <formula>385</formula>
    </cfRule>
  </conditionalFormatting>
  <conditionalFormatting sqref="L46 L64 L83 L102 L121 L143 L160 L218 L197 L178">
    <cfRule type="cellIs" dxfId="5" priority="8" stopIfTrue="1" operator="notBetween">
      <formula>495</formula>
      <formula>577.5</formula>
    </cfRule>
  </conditionalFormatting>
  <conditionalFormatting sqref="I37">
    <cfRule type="cellIs" dxfId="4" priority="7" stopIfTrue="1" operator="notBetween">
      <formula>0.28</formula>
      <formula>0.35</formula>
    </cfRule>
  </conditionalFormatting>
  <conditionalFormatting sqref="I55">
    <cfRule type="cellIs" dxfId="3" priority="6" stopIfTrue="1" operator="notBetween">
      <formula>0.24</formula>
      <formula>0.3</formula>
    </cfRule>
  </conditionalFormatting>
  <conditionalFormatting sqref="K160">
    <cfRule type="cellIs" dxfId="2" priority="3" stopIfTrue="1" operator="notBetween">
      <formula>330</formula>
      <formula>385</formula>
    </cfRule>
  </conditionalFormatting>
  <conditionalFormatting sqref="I218">
    <cfRule type="cellIs" dxfId="1" priority="2" operator="notBetween">
      <formula>0.42</formula>
      <formula>0.49</formula>
    </cfRule>
  </conditionalFormatting>
  <conditionalFormatting sqref="D197">
    <cfRule type="cellIs" dxfId="0" priority="1" stopIfTrue="1" operator="notBetween">
      <formula>23.1</formula>
      <formula>26.95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Региональное меню</vt:lpstr>
      <vt:lpstr>'Региональное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</cp:lastModifiedBy>
  <cp:revision/>
  <cp:lastPrinted>2021-12-28T09:02:34Z</cp:lastPrinted>
  <dcterms:created xsi:type="dcterms:W3CDTF">2020-09-15T06:15:04Z</dcterms:created>
  <dcterms:modified xsi:type="dcterms:W3CDTF">2022-01-24T07:08:43Z</dcterms:modified>
  <cp:category/>
  <cp:contentStatus/>
</cp:coreProperties>
</file>